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loria De Leo\Desktop\"/>
    </mc:Choice>
  </mc:AlternateContent>
  <xr:revisionPtr revIDLastSave="0" documentId="8_{819B0AA3-315A-4E58-B74D-0ADD90ED4746}" xr6:coauthVersionLast="47" xr6:coauthVersionMax="47" xr10:uidLastSave="{00000000-0000-0000-0000-000000000000}"/>
  <workbookProtection workbookAlgorithmName="SHA-512" workbookHashValue="WNuTLyuA4J4nj1GF0WjWEIUKpvx5MUk0tK24t52fnt63F0m2d3y7yqjiXgK8Vz6yULag5AnXI/14tYpuNfaEKQ==" workbookSaltValue="5Rn07C/adidhKV9S813+BQ==" workbookSpinCount="100000" lockStructure="1"/>
  <bookViews>
    <workbookView xWindow="-120" yWindow="-120" windowWidth="29040" windowHeight="15840" xr2:uid="{00000000-000D-0000-FFFF-FFFF00000000}"/>
  </bookViews>
  <sheets>
    <sheet name="Interim Input" sheetId="4" r:id="rId1"/>
    <sheet name="Budget Variance Analysis" sheetId="5" r:id="rId2"/>
  </sheets>
  <definedNames>
    <definedName name="F2F3RestrictedSum" localSheetId="1">'Budget Variance Analysis'!#REF!</definedName>
    <definedName name="F2F3RestrictedSum">'Interim Input'!#REF!</definedName>
    <definedName name="_xlnm.Print_Area" localSheetId="1">'Budget Variance Analysis'!$A$1:$K$121</definedName>
    <definedName name="_xlnm.Print_Area" localSheetId="0">'Interim Input'!$B$1:$N$173</definedName>
    <definedName name="_xlnm.Print_Titles" localSheetId="1">'Budget Variance Analysis'!$1:$13</definedName>
    <definedName name="_xlnm.Print_Titles" localSheetId="0">'Interim Input'!$1:$13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4" l="1"/>
  <c r="I47" i="4" l="1"/>
  <c r="I34" i="4"/>
  <c r="G95" i="4" l="1"/>
  <c r="G94" i="4"/>
  <c r="G92" i="4"/>
  <c r="G91" i="4"/>
  <c r="G90" i="4"/>
  <c r="G89" i="4"/>
  <c r="G88" i="4"/>
  <c r="G84" i="4"/>
  <c r="G83" i="4"/>
  <c r="G82" i="4"/>
  <c r="G81" i="4"/>
  <c r="G80" i="4"/>
  <c r="G74" i="4"/>
  <c r="G72" i="4"/>
  <c r="G71" i="4"/>
  <c r="G69" i="4"/>
  <c r="G66" i="4"/>
  <c r="G65" i="4"/>
  <c r="G63" i="4"/>
  <c r="G62" i="4"/>
  <c r="G59" i="4"/>
  <c r="G58" i="4"/>
  <c r="G57" i="4"/>
  <c r="G56" i="4"/>
  <c r="H98" i="4" l="1"/>
  <c r="H95" i="4"/>
  <c r="H94" i="4"/>
  <c r="H92" i="4"/>
  <c r="H91" i="4"/>
  <c r="H90" i="4"/>
  <c r="H89" i="4"/>
  <c r="H88" i="4"/>
  <c r="H83" i="4"/>
  <c r="H82" i="4"/>
  <c r="H81" i="4"/>
  <c r="H80" i="4"/>
  <c r="H74" i="4"/>
  <c r="H73" i="4"/>
  <c r="H72" i="4"/>
  <c r="H71" i="4"/>
  <c r="H69" i="4"/>
  <c r="H66" i="4"/>
  <c r="H65" i="4"/>
  <c r="H63" i="4"/>
  <c r="H62" i="4"/>
  <c r="H58" i="4"/>
  <c r="H57" i="4"/>
  <c r="H56" i="4"/>
  <c r="G119" i="5" l="1"/>
  <c r="G99" i="4" l="1"/>
  <c r="H117" i="5" l="1"/>
  <c r="K115" i="4"/>
  <c r="K117" i="4"/>
  <c r="L43" i="4" l="1"/>
  <c r="E10" i="5" l="1"/>
  <c r="E9" i="5"/>
  <c r="E8" i="5"/>
  <c r="E7" i="5"/>
  <c r="E6" i="5"/>
  <c r="K43" i="4"/>
  <c r="M43" i="4" s="1"/>
  <c r="N43" i="4" s="1"/>
  <c r="H43" i="5"/>
  <c r="K50" i="4" l="1"/>
  <c r="L32" i="4"/>
  <c r="L23" i="4"/>
  <c r="L34" i="4"/>
  <c r="K34" i="4"/>
  <c r="J35" i="4"/>
  <c r="I35" i="4"/>
  <c r="H35" i="4"/>
  <c r="G35" i="4"/>
  <c r="H34" i="5" l="1"/>
  <c r="I34" i="5" s="1"/>
  <c r="J34" i="5" s="1"/>
  <c r="M34" i="4"/>
  <c r="N34" i="4" s="1"/>
  <c r="K23" i="4" l="1"/>
  <c r="H23" i="5" s="1"/>
  <c r="L33" i="4"/>
  <c r="K33" i="4"/>
  <c r="K32" i="4"/>
  <c r="H32" i="5" s="1"/>
  <c r="L31" i="4"/>
  <c r="K31" i="4"/>
  <c r="H31" i="5" s="1"/>
  <c r="L30" i="4"/>
  <c r="K30" i="4"/>
  <c r="H30" i="5" s="1"/>
  <c r="L29" i="4"/>
  <c r="K29" i="4"/>
  <c r="H29" i="5" s="1"/>
  <c r="L28" i="4"/>
  <c r="K28" i="4"/>
  <c r="L27" i="4"/>
  <c r="K27" i="4"/>
  <c r="H27" i="5" s="1"/>
  <c r="L26" i="4"/>
  <c r="K26" i="4"/>
  <c r="H26" i="5" s="1"/>
  <c r="L25" i="4"/>
  <c r="K25" i="4"/>
  <c r="H25" i="5" s="1"/>
  <c r="L24" i="4"/>
  <c r="K24" i="4"/>
  <c r="H24" i="5" s="1"/>
  <c r="L17" i="4"/>
  <c r="K16" i="4"/>
  <c r="G35" i="5"/>
  <c r="H16" i="5" l="1"/>
  <c r="I16" i="5" s="1"/>
  <c r="J16" i="5" s="1"/>
  <c r="M33" i="4"/>
  <c r="N33" i="4" s="1"/>
  <c r="H33" i="5"/>
  <c r="H28" i="5"/>
  <c r="I28" i="5" s="1"/>
  <c r="J28" i="5" s="1"/>
  <c r="M25" i="4"/>
  <c r="N25" i="4" s="1"/>
  <c r="M27" i="4"/>
  <c r="N27" i="4" s="1"/>
  <c r="M29" i="4"/>
  <c r="N29" i="4" s="1"/>
  <c r="L35" i="4"/>
  <c r="M23" i="4"/>
  <c r="K35" i="4"/>
  <c r="M24" i="4"/>
  <c r="N24" i="4" s="1"/>
  <c r="M31" i="4"/>
  <c r="N31" i="4" s="1"/>
  <c r="M26" i="4"/>
  <c r="N26" i="4" s="1"/>
  <c r="M28" i="4"/>
  <c r="N28" i="4" s="1"/>
  <c r="M30" i="4"/>
  <c r="N30" i="4" s="1"/>
  <c r="M32" i="4"/>
  <c r="N32" i="4" s="1"/>
  <c r="M35" i="4" l="1"/>
  <c r="N35" i="4" s="1"/>
  <c r="N23" i="4"/>
  <c r="G108" i="5"/>
  <c r="G99" i="5"/>
  <c r="G96" i="5"/>
  <c r="G85" i="5"/>
  <c r="G78" i="5"/>
  <c r="G67" i="5"/>
  <c r="G21" i="5"/>
  <c r="G51" i="5" l="1"/>
  <c r="G60" i="5"/>
  <c r="G110" i="5" s="1"/>
  <c r="G48" i="5"/>
  <c r="N100" i="4"/>
  <c r="N97" i="4"/>
  <c r="N86" i="4"/>
  <c r="N79" i="4"/>
  <c r="N68" i="4"/>
  <c r="N61" i="4"/>
  <c r="N49" i="4"/>
  <c r="N36" i="4"/>
  <c r="G53" i="5" l="1"/>
  <c r="G112" i="5" s="1"/>
  <c r="G121" i="5" s="1"/>
  <c r="L46" i="4" l="1"/>
  <c r="H122" i="5" l="1"/>
  <c r="I126" i="4"/>
  <c r="G126" i="4"/>
  <c r="J48" i="4" l="1"/>
  <c r="I48" i="4"/>
  <c r="H48" i="4"/>
  <c r="G48" i="4"/>
  <c r="L47" i="4"/>
  <c r="K47" i="4"/>
  <c r="H47" i="5" s="1"/>
  <c r="K46" i="4"/>
  <c r="H46" i="5" s="1"/>
  <c r="L45" i="4"/>
  <c r="K45" i="4"/>
  <c r="H45" i="5" s="1"/>
  <c r="L44" i="4"/>
  <c r="K44" i="4"/>
  <c r="H44" i="5" s="1"/>
  <c r="L42" i="4"/>
  <c r="K42" i="4"/>
  <c r="H42" i="5" s="1"/>
  <c r="L41" i="4"/>
  <c r="K41" i="4"/>
  <c r="H41" i="5" s="1"/>
  <c r="L40" i="4"/>
  <c r="K40" i="4"/>
  <c r="H40" i="5" s="1"/>
  <c r="L39" i="4"/>
  <c r="K39" i="4"/>
  <c r="H39" i="5" s="1"/>
  <c r="L38" i="4"/>
  <c r="K38" i="4"/>
  <c r="H38" i="5" s="1"/>
  <c r="L37" i="4"/>
  <c r="K37" i="4"/>
  <c r="H37" i="5" s="1"/>
  <c r="I40" i="5" l="1"/>
  <c r="J40" i="5" s="1"/>
  <c r="I47" i="5"/>
  <c r="J47" i="5" s="1"/>
  <c r="I39" i="5"/>
  <c r="J39" i="5" s="1"/>
  <c r="I37" i="5"/>
  <c r="J37" i="5" s="1"/>
  <c r="I45" i="5"/>
  <c r="J45" i="5" s="1"/>
  <c r="I44" i="5"/>
  <c r="J44" i="5" s="1"/>
  <c r="I42" i="5"/>
  <c r="J42" i="5" s="1"/>
  <c r="I43" i="5"/>
  <c r="J43" i="5" s="1"/>
  <c r="I38" i="5"/>
  <c r="J38" i="5" s="1"/>
  <c r="I46" i="5"/>
  <c r="J46" i="5" s="1"/>
  <c r="I41" i="5"/>
  <c r="J41" i="5" s="1"/>
  <c r="M44" i="4"/>
  <c r="N44" i="4" s="1"/>
  <c r="M47" i="4"/>
  <c r="N47" i="4" s="1"/>
  <c r="M45" i="4"/>
  <c r="N45" i="4" s="1"/>
  <c r="M42" i="4"/>
  <c r="N42" i="4" s="1"/>
  <c r="M41" i="4"/>
  <c r="N41" i="4" s="1"/>
  <c r="M40" i="4"/>
  <c r="N40" i="4" s="1"/>
  <c r="M38" i="4"/>
  <c r="N38" i="4" s="1"/>
  <c r="M39" i="4"/>
  <c r="N39" i="4" s="1"/>
  <c r="L48" i="4"/>
  <c r="P48" i="4" s="1"/>
  <c r="M46" i="4"/>
  <c r="N46" i="4" s="1"/>
  <c r="K48" i="4"/>
  <c r="M37" i="4"/>
  <c r="N37" i="4" s="1"/>
  <c r="I30" i="5"/>
  <c r="J30" i="5" s="1"/>
  <c r="I48" i="5" l="1"/>
  <c r="J48" i="5" s="1"/>
  <c r="O48" i="4"/>
  <c r="H48" i="5"/>
  <c r="M48" i="4"/>
  <c r="L105" i="4"/>
  <c r="K105" i="4"/>
  <c r="H105" i="5" s="1"/>
  <c r="I105" i="5" s="1"/>
  <c r="J105" i="5" s="1"/>
  <c r="I32" i="5"/>
  <c r="J32" i="5" s="1"/>
  <c r="I31" i="5"/>
  <c r="J31" i="5" s="1"/>
  <c r="N48" i="4" l="1"/>
  <c r="M105" i="4"/>
  <c r="N105" i="4" s="1"/>
  <c r="I33" i="5" l="1"/>
  <c r="J33" i="5" s="1"/>
  <c r="I26" i="5" l="1"/>
  <c r="J26" i="5" s="1"/>
  <c r="I29" i="5"/>
  <c r="J29" i="5" s="1"/>
  <c r="I27" i="5"/>
  <c r="J27" i="5" s="1"/>
  <c r="I25" i="5"/>
  <c r="J25" i="5" s="1"/>
  <c r="I24" i="5"/>
  <c r="J24" i="5" s="1"/>
  <c r="H164" i="4"/>
  <c r="H35" i="5" l="1"/>
  <c r="I23" i="5"/>
  <c r="J23" i="5" s="1"/>
  <c r="L160" i="4"/>
  <c r="I35" i="5" l="1"/>
  <c r="J35" i="5" s="1"/>
  <c r="K19" i="4"/>
  <c r="K18" i="4"/>
  <c r="H18" i="5" s="1"/>
  <c r="K17" i="4"/>
  <c r="H17" i="5" s="1"/>
  <c r="I17" i="5" s="1"/>
  <c r="J17" i="5" s="1"/>
  <c r="H19" i="5" l="1"/>
  <c r="I19" i="5" s="1"/>
  <c r="J19" i="5" s="1"/>
  <c r="M17" i="4"/>
  <c r="N17" i="4" s="1"/>
  <c r="J127" i="4"/>
  <c r="I127" i="4"/>
  <c r="H127" i="4"/>
  <c r="G127" i="4"/>
  <c r="L126" i="4"/>
  <c r="K126" i="4"/>
  <c r="L125" i="4"/>
  <c r="K125" i="4"/>
  <c r="J119" i="4"/>
  <c r="I119" i="4"/>
  <c r="H119" i="4"/>
  <c r="G119" i="4"/>
  <c r="L117" i="4"/>
  <c r="I117" i="5"/>
  <c r="L116" i="4"/>
  <c r="K116" i="4"/>
  <c r="H116" i="5" s="1"/>
  <c r="I116" i="5" s="1"/>
  <c r="L115" i="4"/>
  <c r="H115" i="5"/>
  <c r="J108" i="4"/>
  <c r="I108" i="4"/>
  <c r="H108" i="4"/>
  <c r="G108" i="4"/>
  <c r="L107" i="4"/>
  <c r="K107" i="4"/>
  <c r="H107" i="5" s="1"/>
  <c r="I107" i="5" s="1"/>
  <c r="J107" i="5" s="1"/>
  <c r="L106" i="4"/>
  <c r="K106" i="4"/>
  <c r="H106" i="5" s="1"/>
  <c r="I106" i="5" s="1"/>
  <c r="J106" i="5" s="1"/>
  <c r="L104" i="4"/>
  <c r="K104" i="4"/>
  <c r="H104" i="5" s="1"/>
  <c r="I104" i="5" s="1"/>
  <c r="J104" i="5" s="1"/>
  <c r="L103" i="4"/>
  <c r="K103" i="4"/>
  <c r="H103" i="5" s="1"/>
  <c r="I103" i="5" s="1"/>
  <c r="J103" i="5" s="1"/>
  <c r="L102" i="4"/>
  <c r="K102" i="4"/>
  <c r="H102" i="5" s="1"/>
  <c r="I102" i="5" s="1"/>
  <c r="J102" i="5" s="1"/>
  <c r="L101" i="4"/>
  <c r="K101" i="4"/>
  <c r="H101" i="5" s="1"/>
  <c r="L98" i="4"/>
  <c r="K98" i="4"/>
  <c r="H98" i="5" s="1"/>
  <c r="J96" i="4"/>
  <c r="I96" i="4"/>
  <c r="H96" i="4"/>
  <c r="G96" i="4"/>
  <c r="L95" i="4"/>
  <c r="K95" i="4"/>
  <c r="H95" i="5" s="1"/>
  <c r="I95" i="5" s="1"/>
  <c r="J95" i="5" s="1"/>
  <c r="L94" i="4"/>
  <c r="K94" i="4"/>
  <c r="H94" i="5" s="1"/>
  <c r="I94" i="5" s="1"/>
  <c r="J94" i="5" s="1"/>
  <c r="L93" i="4"/>
  <c r="K93" i="4"/>
  <c r="H93" i="5" s="1"/>
  <c r="I93" i="5" s="1"/>
  <c r="J93" i="5" s="1"/>
  <c r="L92" i="4"/>
  <c r="K92" i="4"/>
  <c r="H92" i="5" s="1"/>
  <c r="I92" i="5" s="1"/>
  <c r="J92" i="5" s="1"/>
  <c r="L91" i="4"/>
  <c r="K91" i="4"/>
  <c r="H91" i="5" s="1"/>
  <c r="I91" i="5" s="1"/>
  <c r="J91" i="5" s="1"/>
  <c r="L90" i="4"/>
  <c r="K90" i="4"/>
  <c r="H90" i="5" s="1"/>
  <c r="I90" i="5" s="1"/>
  <c r="J90" i="5" s="1"/>
  <c r="L89" i="4"/>
  <c r="K89" i="4"/>
  <c r="H89" i="5" s="1"/>
  <c r="I89" i="5" s="1"/>
  <c r="J89" i="5" s="1"/>
  <c r="L88" i="4"/>
  <c r="K88" i="4"/>
  <c r="H88" i="5" s="1"/>
  <c r="I88" i="5" s="1"/>
  <c r="J88" i="5" s="1"/>
  <c r="L87" i="4"/>
  <c r="K87" i="4"/>
  <c r="H87" i="5" s="1"/>
  <c r="J85" i="4"/>
  <c r="I85" i="4"/>
  <c r="H85" i="4"/>
  <c r="G85" i="4"/>
  <c r="L84" i="4"/>
  <c r="K84" i="4"/>
  <c r="H84" i="5" s="1"/>
  <c r="I84" i="5" s="1"/>
  <c r="J84" i="5" s="1"/>
  <c r="L83" i="4"/>
  <c r="K83" i="4"/>
  <c r="H83" i="5" s="1"/>
  <c r="I83" i="5" s="1"/>
  <c r="J83" i="5" s="1"/>
  <c r="L82" i="4"/>
  <c r="K82" i="4"/>
  <c r="H82" i="5" s="1"/>
  <c r="I82" i="5" s="1"/>
  <c r="J82" i="5" s="1"/>
  <c r="L81" i="4"/>
  <c r="K81" i="4"/>
  <c r="H81" i="5" s="1"/>
  <c r="I81" i="5" s="1"/>
  <c r="J81" i="5" s="1"/>
  <c r="L80" i="4"/>
  <c r="K80" i="4"/>
  <c r="H80" i="5" s="1"/>
  <c r="J78" i="4"/>
  <c r="I78" i="4"/>
  <c r="H78" i="4"/>
  <c r="G78" i="4"/>
  <c r="L77" i="4"/>
  <c r="K77" i="4"/>
  <c r="H77" i="5" s="1"/>
  <c r="I77" i="5" s="1"/>
  <c r="J77" i="5" s="1"/>
  <c r="L76" i="4"/>
  <c r="K76" i="4"/>
  <c r="H76" i="5" s="1"/>
  <c r="I76" i="5" s="1"/>
  <c r="J76" i="5" s="1"/>
  <c r="L75" i="4"/>
  <c r="K75" i="4"/>
  <c r="H75" i="5" s="1"/>
  <c r="I75" i="5" s="1"/>
  <c r="J75" i="5" s="1"/>
  <c r="L74" i="4"/>
  <c r="K74" i="4"/>
  <c r="H74" i="5" s="1"/>
  <c r="I74" i="5" s="1"/>
  <c r="J74" i="5" s="1"/>
  <c r="L73" i="4"/>
  <c r="K73" i="4"/>
  <c r="H73" i="5" s="1"/>
  <c r="I73" i="5" s="1"/>
  <c r="J73" i="5" s="1"/>
  <c r="L72" i="4"/>
  <c r="K72" i="4"/>
  <c r="H72" i="5" s="1"/>
  <c r="I72" i="5" s="1"/>
  <c r="J72" i="5" s="1"/>
  <c r="L71" i="4"/>
  <c r="K71" i="4"/>
  <c r="H71" i="5" s="1"/>
  <c r="I71" i="5" s="1"/>
  <c r="J71" i="5" s="1"/>
  <c r="L70" i="4"/>
  <c r="K70" i="4"/>
  <c r="H70" i="5" s="1"/>
  <c r="I70" i="5" s="1"/>
  <c r="J70" i="5" s="1"/>
  <c r="L69" i="4"/>
  <c r="K69" i="4"/>
  <c r="H69" i="5" s="1"/>
  <c r="J67" i="4"/>
  <c r="I67" i="4"/>
  <c r="H67" i="4"/>
  <c r="G67" i="4"/>
  <c r="L66" i="4"/>
  <c r="K66" i="4"/>
  <c r="H66" i="5" s="1"/>
  <c r="I66" i="5" s="1"/>
  <c r="J66" i="5" s="1"/>
  <c r="L65" i="4"/>
  <c r="K65" i="4"/>
  <c r="H65" i="5" s="1"/>
  <c r="I65" i="5" s="1"/>
  <c r="J65" i="5" s="1"/>
  <c r="L64" i="4"/>
  <c r="K64" i="4"/>
  <c r="H64" i="5" s="1"/>
  <c r="I64" i="5" s="1"/>
  <c r="J64" i="5" s="1"/>
  <c r="L63" i="4"/>
  <c r="K63" i="4"/>
  <c r="H63" i="5" s="1"/>
  <c r="I63" i="5" s="1"/>
  <c r="J63" i="5" s="1"/>
  <c r="L62" i="4"/>
  <c r="K62" i="4"/>
  <c r="H62" i="5" s="1"/>
  <c r="J60" i="4"/>
  <c r="I60" i="4"/>
  <c r="H60" i="4"/>
  <c r="G60" i="4"/>
  <c r="L59" i="4"/>
  <c r="K59" i="4"/>
  <c r="H59" i="5" s="1"/>
  <c r="I59" i="5" s="1"/>
  <c r="J59" i="5" s="1"/>
  <c r="L58" i="4"/>
  <c r="K58" i="4"/>
  <c r="H58" i="5" s="1"/>
  <c r="I58" i="5" s="1"/>
  <c r="J58" i="5" s="1"/>
  <c r="L57" i="4"/>
  <c r="K57" i="4"/>
  <c r="H57" i="5" s="1"/>
  <c r="I57" i="5" s="1"/>
  <c r="J57" i="5" s="1"/>
  <c r="L56" i="4"/>
  <c r="K56" i="4"/>
  <c r="H56" i="5" s="1"/>
  <c r="J51" i="4"/>
  <c r="I51" i="4"/>
  <c r="H51" i="4"/>
  <c r="G51" i="4"/>
  <c r="L50" i="4"/>
  <c r="J21" i="4"/>
  <c r="I21" i="4"/>
  <c r="H21" i="4"/>
  <c r="G21" i="4"/>
  <c r="L20" i="4"/>
  <c r="K20" i="4"/>
  <c r="L19" i="4"/>
  <c r="L18" i="4"/>
  <c r="L16" i="4"/>
  <c r="H119" i="5" l="1"/>
  <c r="I119" i="5" s="1"/>
  <c r="I121" i="5" s="1"/>
  <c r="H20" i="5"/>
  <c r="I20" i="5" s="1"/>
  <c r="J20" i="5" s="1"/>
  <c r="G53" i="4"/>
  <c r="J53" i="4"/>
  <c r="H53" i="4"/>
  <c r="M18" i="4"/>
  <c r="N18" i="4" s="1"/>
  <c r="I53" i="4"/>
  <c r="I18" i="5"/>
  <c r="J18" i="5" s="1"/>
  <c r="I87" i="5"/>
  <c r="J87" i="5" s="1"/>
  <c r="H96" i="5"/>
  <c r="I101" i="5"/>
  <c r="J101" i="5" s="1"/>
  <c r="H108" i="5"/>
  <c r="I115" i="5"/>
  <c r="L51" i="4"/>
  <c r="P51" i="4" s="1"/>
  <c r="I56" i="5"/>
  <c r="J56" i="5" s="1"/>
  <c r="H60" i="5"/>
  <c r="I62" i="5"/>
  <c r="J62" i="5" s="1"/>
  <c r="H67" i="5"/>
  <c r="I80" i="5"/>
  <c r="J80" i="5" s="1"/>
  <c r="H85" i="5"/>
  <c r="H99" i="5"/>
  <c r="I98" i="5"/>
  <c r="J98" i="5" s="1"/>
  <c r="K51" i="4"/>
  <c r="O51" i="4" s="1"/>
  <c r="H50" i="5"/>
  <c r="I50" i="5" s="1"/>
  <c r="J50" i="5" s="1"/>
  <c r="I69" i="5"/>
  <c r="J69" i="5" s="1"/>
  <c r="H78" i="5"/>
  <c r="M107" i="4"/>
  <c r="N107" i="4" s="1"/>
  <c r="M57" i="4"/>
  <c r="N57" i="4" s="1"/>
  <c r="M59" i="4"/>
  <c r="N59" i="4" s="1"/>
  <c r="M89" i="4"/>
  <c r="N89" i="4" s="1"/>
  <c r="M91" i="4"/>
  <c r="N91" i="4" s="1"/>
  <c r="M115" i="4"/>
  <c r="M117" i="4"/>
  <c r="M126" i="4"/>
  <c r="M87" i="4"/>
  <c r="N87" i="4" s="1"/>
  <c r="M56" i="4"/>
  <c r="N56" i="4" s="1"/>
  <c r="M58" i="4"/>
  <c r="N58" i="4" s="1"/>
  <c r="K67" i="4"/>
  <c r="O67" i="4" s="1"/>
  <c r="M64" i="4"/>
  <c r="N64" i="4" s="1"/>
  <c r="M66" i="4"/>
  <c r="N66" i="4" s="1"/>
  <c r="M70" i="4"/>
  <c r="N70" i="4" s="1"/>
  <c r="M72" i="4"/>
  <c r="N72" i="4" s="1"/>
  <c r="M74" i="4"/>
  <c r="N74" i="4" s="1"/>
  <c r="M76" i="4"/>
  <c r="N76" i="4" s="1"/>
  <c r="M80" i="4"/>
  <c r="N80" i="4" s="1"/>
  <c r="M84" i="4"/>
  <c r="N84" i="4" s="1"/>
  <c r="M88" i="4"/>
  <c r="N88" i="4" s="1"/>
  <c r="M90" i="4"/>
  <c r="N90" i="4" s="1"/>
  <c r="M92" i="4"/>
  <c r="N92" i="4" s="1"/>
  <c r="M93" i="4"/>
  <c r="N93" i="4" s="1"/>
  <c r="M95" i="4"/>
  <c r="N95" i="4" s="1"/>
  <c r="M103" i="4"/>
  <c r="N103" i="4" s="1"/>
  <c r="L127" i="4"/>
  <c r="P127" i="4" s="1"/>
  <c r="M106" i="4"/>
  <c r="N106" i="4" s="1"/>
  <c r="L60" i="4"/>
  <c r="K108" i="4"/>
  <c r="O108" i="4" s="1"/>
  <c r="L78" i="4"/>
  <c r="P78" i="4" s="1"/>
  <c r="M83" i="4"/>
  <c r="N83" i="4" s="1"/>
  <c r="M94" i="4"/>
  <c r="N94" i="4" s="1"/>
  <c r="M20" i="4"/>
  <c r="L108" i="4"/>
  <c r="P108" i="4" s="1"/>
  <c r="M82" i="4"/>
  <c r="N82" i="4" s="1"/>
  <c r="M19" i="4"/>
  <c r="N19" i="4" s="1"/>
  <c r="M63" i="4"/>
  <c r="N63" i="4" s="1"/>
  <c r="M65" i="4"/>
  <c r="N65" i="4" s="1"/>
  <c r="M81" i="4"/>
  <c r="N81" i="4" s="1"/>
  <c r="M102" i="4"/>
  <c r="N102" i="4" s="1"/>
  <c r="M104" i="4"/>
  <c r="N104" i="4" s="1"/>
  <c r="L96" i="4"/>
  <c r="P96" i="4" s="1"/>
  <c r="L67" i="4"/>
  <c r="P67" i="4" s="1"/>
  <c r="M62" i="4"/>
  <c r="N62" i="4" s="1"/>
  <c r="L85" i="4"/>
  <c r="P85" i="4" s="1"/>
  <c r="M101" i="4"/>
  <c r="N101" i="4" s="1"/>
  <c r="L119" i="4"/>
  <c r="P119" i="4" s="1"/>
  <c r="M69" i="4"/>
  <c r="N69" i="4" s="1"/>
  <c r="M71" i="4"/>
  <c r="N71" i="4" s="1"/>
  <c r="M73" i="4"/>
  <c r="N73" i="4" s="1"/>
  <c r="M75" i="4"/>
  <c r="N75" i="4" s="1"/>
  <c r="M77" i="4"/>
  <c r="N77" i="4" s="1"/>
  <c r="M98" i="4"/>
  <c r="N98" i="4" s="1"/>
  <c r="M116" i="4"/>
  <c r="M125" i="4"/>
  <c r="K85" i="4"/>
  <c r="O85" i="4" s="1"/>
  <c r="K21" i="4"/>
  <c r="L21" i="4"/>
  <c r="K119" i="4"/>
  <c r="O119" i="4" s="1"/>
  <c r="K127" i="4"/>
  <c r="O127" i="4" s="1"/>
  <c r="M16" i="4"/>
  <c r="N16" i="4" s="1"/>
  <c r="K78" i="4"/>
  <c r="K96" i="4"/>
  <c r="O96" i="4" s="1"/>
  <c r="M50" i="4"/>
  <c r="N50" i="4" s="1"/>
  <c r="K60" i="4"/>
  <c r="O60" i="4" s="1"/>
  <c r="H21" i="5" l="1"/>
  <c r="K53" i="4"/>
  <c r="N20" i="4"/>
  <c r="M21" i="4"/>
  <c r="N21" i="4" s="1"/>
  <c r="I67" i="5"/>
  <c r="J67" i="5" s="1"/>
  <c r="I96" i="5"/>
  <c r="J96" i="5" s="1"/>
  <c r="I85" i="5"/>
  <c r="J85" i="5" s="1"/>
  <c r="I60" i="5"/>
  <c r="J60" i="5" s="1"/>
  <c r="I78" i="5"/>
  <c r="J78" i="5" s="1"/>
  <c r="I99" i="5"/>
  <c r="J99" i="5" s="1"/>
  <c r="I108" i="5"/>
  <c r="J108" i="5" s="1"/>
  <c r="I51" i="5"/>
  <c r="J51" i="5" s="1"/>
  <c r="I21" i="5"/>
  <c r="J21" i="5" s="1"/>
  <c r="L53" i="4"/>
  <c r="H110" i="5"/>
  <c r="H51" i="5"/>
  <c r="M60" i="4"/>
  <c r="N60" i="4" s="1"/>
  <c r="P60" i="4"/>
  <c r="O21" i="4"/>
  <c r="O78" i="4"/>
  <c r="M96" i="4"/>
  <c r="N96" i="4" s="1"/>
  <c r="M119" i="4"/>
  <c r="M85" i="4"/>
  <c r="N85" i="4" s="1"/>
  <c r="M78" i="4"/>
  <c r="N78" i="4" s="1"/>
  <c r="M108" i="4"/>
  <c r="N108" i="4" s="1"/>
  <c r="P21" i="4"/>
  <c r="M127" i="4"/>
  <c r="M67" i="4"/>
  <c r="N67" i="4" s="1"/>
  <c r="M51" i="4"/>
  <c r="N51" i="4" s="1"/>
  <c r="I110" i="5" l="1"/>
  <c r="I53" i="5"/>
  <c r="H53" i="5"/>
  <c r="H112" i="5" s="1"/>
  <c r="H121" i="5" s="1"/>
  <c r="N53" i="4"/>
  <c r="M53" i="4"/>
  <c r="P53" i="4"/>
  <c r="O53" i="4"/>
  <c r="J99" i="4"/>
  <c r="H99" i="4"/>
  <c r="H110" i="4" s="1"/>
  <c r="H112" i="4" s="1"/>
  <c r="J110" i="4" l="1"/>
  <c r="J112" i="4" s="1"/>
  <c r="J121" i="4" s="1"/>
  <c r="H121" i="4"/>
  <c r="H128" i="4" s="1"/>
  <c r="I99" i="4"/>
  <c r="L159" i="4"/>
  <c r="L161" i="4"/>
  <c r="L162" i="4"/>
  <c r="L131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4" i="4"/>
  <c r="L155" i="4" s="1"/>
  <c r="L158" i="4"/>
  <c r="L163" i="4"/>
  <c r="L167" i="4"/>
  <c r="L168" i="4" s="1"/>
  <c r="J128" i="4" l="1"/>
  <c r="G110" i="4"/>
  <c r="G112" i="4" s="1"/>
  <c r="I110" i="4"/>
  <c r="I112" i="4" s="1"/>
  <c r="I121" i="4" s="1"/>
  <c r="I128" i="4" s="1"/>
  <c r="L99" i="4"/>
  <c r="L110" i="4" s="1"/>
  <c r="L112" i="4" s="1"/>
  <c r="L151" i="4"/>
  <c r="L164" i="4"/>
  <c r="J132" i="4" l="1"/>
  <c r="L132" i="4" s="1"/>
  <c r="L171" i="4"/>
  <c r="P110" i="4"/>
  <c r="G121" i="4"/>
  <c r="G128" i="4" s="1"/>
  <c r="O155" i="4"/>
  <c r="O168" i="4"/>
  <c r="J168" i="4"/>
  <c r="H168" i="4"/>
  <c r="J155" i="4"/>
  <c r="H155" i="4"/>
  <c r="L121" i="4" l="1"/>
  <c r="L128" i="4" s="1"/>
  <c r="S170" i="4" s="1"/>
  <c r="S171" i="4" s="1"/>
  <c r="L170" i="4" s="1"/>
  <c r="P112" i="4"/>
  <c r="P168" i="4"/>
  <c r="P155" i="4"/>
  <c r="P128" i="4" l="1"/>
  <c r="P121" i="4"/>
  <c r="H151" i="4"/>
  <c r="H171" i="4" s="1"/>
  <c r="Q170" i="4" s="1"/>
  <c r="Q171" i="4" s="1"/>
  <c r="H170" i="4" s="1"/>
  <c r="J151" i="4"/>
  <c r="J164" i="4"/>
  <c r="O171" i="4"/>
  <c r="O164" i="4"/>
  <c r="O151" i="4"/>
  <c r="J171" i="4" l="1"/>
  <c r="R170" i="4" s="1"/>
  <c r="R171" i="4" s="1"/>
  <c r="J170" i="4" s="1"/>
  <c r="P99" i="4"/>
  <c r="P164" i="4"/>
  <c r="K99" i="4"/>
  <c r="K110" i="4" s="1"/>
  <c r="K112" i="4" s="1"/>
  <c r="O99" i="4" l="1"/>
  <c r="P151" i="4"/>
  <c r="P171" i="4"/>
  <c r="M99" i="4"/>
  <c r="N99" i="4" s="1"/>
  <c r="N110" i="4" s="1"/>
  <c r="M110" i="4" l="1"/>
  <c r="M112" i="4" s="1"/>
  <c r="M121" i="4" s="1"/>
  <c r="M128" i="4" s="1"/>
  <c r="O110" i="4"/>
  <c r="H173" i="4"/>
  <c r="L133" i="4"/>
  <c r="L173" i="4"/>
  <c r="H133" i="4"/>
  <c r="K121" i="4" l="1"/>
  <c r="K128" i="4" s="1"/>
  <c r="O112" i="4"/>
  <c r="J173" i="4"/>
  <c r="O133" i="4"/>
  <c r="O128" i="4" l="1"/>
  <c r="O121" i="4"/>
  <c r="P133" i="4"/>
</calcChain>
</file>

<file path=xl/sharedStrings.xml><?xml version="1.0" encoding="utf-8"?>
<sst xmlns="http://schemas.openxmlformats.org/spreadsheetml/2006/main" count="390" uniqueCount="246">
  <si>
    <t>Object Code</t>
  </si>
  <si>
    <t>Proof</t>
  </si>
  <si>
    <t xml:space="preserve">5. TOTAL REVENUES </t>
  </si>
  <si>
    <t xml:space="preserve">1. Certificated Salaries </t>
  </si>
  <si>
    <t xml:space="preserve">Total, Certificated Salaries </t>
  </si>
  <si>
    <t xml:space="preserve">2. Classified Salaries </t>
  </si>
  <si>
    <t xml:space="preserve">Total, Classified Salaries </t>
  </si>
  <si>
    <t xml:space="preserve">3. Employee Benefits </t>
  </si>
  <si>
    <t>3101-3102</t>
  </si>
  <si>
    <t>3201-3202</t>
  </si>
  <si>
    <t>3301-3302</t>
  </si>
  <si>
    <t>3401-3402</t>
  </si>
  <si>
    <t>3501-3502</t>
  </si>
  <si>
    <t>3601-3602</t>
  </si>
  <si>
    <t>3701-3702</t>
  </si>
  <si>
    <t>3901-3902</t>
  </si>
  <si>
    <t xml:space="preserve">Total, Employee Benefits </t>
  </si>
  <si>
    <t xml:space="preserve">4. Books and Supplies </t>
  </si>
  <si>
    <t xml:space="preserve">Total, Books and Supplies </t>
  </si>
  <si>
    <t xml:space="preserve">5. Services and Other Operating Expenditures </t>
  </si>
  <si>
    <t xml:space="preserve">Total, Services and Other Operating Expenditures </t>
  </si>
  <si>
    <t xml:space="preserve">Total, Capital Outlay </t>
  </si>
  <si>
    <t xml:space="preserve">7. Other Outgo </t>
  </si>
  <si>
    <t>7110-7143</t>
  </si>
  <si>
    <t>7211-7213</t>
  </si>
  <si>
    <t>7221-7223</t>
  </si>
  <si>
    <t xml:space="preserve">All Other Transfers </t>
  </si>
  <si>
    <t>7280-7299</t>
  </si>
  <si>
    <t xml:space="preserve">Total, Other Outgo </t>
  </si>
  <si>
    <t xml:space="preserve">8. TOTAL EXPENDITURES </t>
  </si>
  <si>
    <t xml:space="preserve">C. EXCESS (DEFICIENCY) OF REVENUES OVER EXPEND. </t>
  </si>
  <si>
    <t xml:space="preserve">BEFORE OTHER FINANCING SOURCES AND USES (A5-B8) </t>
  </si>
  <si>
    <t>8930-8979</t>
  </si>
  <si>
    <t xml:space="preserve">2. Other Uses </t>
  </si>
  <si>
    <t>7630-7699</t>
  </si>
  <si>
    <t>8980-8999</t>
  </si>
  <si>
    <t>9793, 9795</t>
  </si>
  <si>
    <t xml:space="preserve">G. ASSETS </t>
  </si>
  <si>
    <t xml:space="preserve">1. Cash </t>
  </si>
  <si>
    <t xml:space="preserve">In County Treasury </t>
  </si>
  <si>
    <t xml:space="preserve">In Banks </t>
  </si>
  <si>
    <t xml:space="preserve">In Revolving Fund </t>
  </si>
  <si>
    <t xml:space="preserve">Collections Awaiting Deposit </t>
  </si>
  <si>
    <t xml:space="preserve">2. Investments </t>
  </si>
  <si>
    <t xml:space="preserve">3. Accounts Receivable </t>
  </si>
  <si>
    <t xml:space="preserve">4. Due From Grantor Government </t>
  </si>
  <si>
    <t xml:space="preserve">5. Due From Other Funds </t>
  </si>
  <si>
    <t xml:space="preserve">6. Stores </t>
  </si>
  <si>
    <t xml:space="preserve">8. Other Current Assets </t>
  </si>
  <si>
    <t xml:space="preserve">1. Accounts Payable </t>
  </si>
  <si>
    <t xml:space="preserve">2. Due to Grantor Government </t>
  </si>
  <si>
    <t xml:space="preserve">3. Due to Other Funds </t>
  </si>
  <si>
    <t xml:space="preserve">5. Deferred Revenue </t>
  </si>
  <si>
    <t>9660-9669</t>
  </si>
  <si>
    <t xml:space="preserve">  </t>
  </si>
  <si>
    <t xml:space="preserve">Other Certificated Salaries </t>
  </si>
  <si>
    <t xml:space="preserve">Clerical and Office Salaries  </t>
  </si>
  <si>
    <t xml:space="preserve">Other Classified Salaries </t>
  </si>
  <si>
    <t xml:space="preserve">STRS </t>
  </si>
  <si>
    <t xml:space="preserve">PERS </t>
  </si>
  <si>
    <t xml:space="preserve">Health and Welfare Benefits  </t>
  </si>
  <si>
    <t xml:space="preserve">Unemployment Insurance  </t>
  </si>
  <si>
    <t xml:space="preserve">Workers' Compensation Insurance  </t>
  </si>
  <si>
    <t xml:space="preserve">Approved Textbooks and Core Curricula Materials </t>
  </si>
  <si>
    <t>Books and Other Reference Materials</t>
  </si>
  <si>
    <t>Materials and Supplies</t>
  </si>
  <si>
    <t>Non-capitalized Equipment</t>
  </si>
  <si>
    <t>Travel and Conferences</t>
  </si>
  <si>
    <t>Dues and Memberships</t>
  </si>
  <si>
    <t>Insurance</t>
  </si>
  <si>
    <t>Operations and Housekeeping Services</t>
  </si>
  <si>
    <t>Communications</t>
  </si>
  <si>
    <t>Subagreements for Services</t>
  </si>
  <si>
    <t>Transfers of Apportionments to Other LEAs - Spec Ed and All Others</t>
  </si>
  <si>
    <t>4. Current Loans</t>
  </si>
  <si>
    <t>Debt Service - Principal  (FOR MODIFIED ACCRUAL BASIS ONLY)</t>
  </si>
  <si>
    <t xml:space="preserve">6. Capital Outlay </t>
  </si>
  <si>
    <t>6. Long-term Liabilities</t>
  </si>
  <si>
    <t>A. REVENUES  (8000-8799)</t>
  </si>
  <si>
    <t>8300-8599</t>
  </si>
  <si>
    <t>8100-8299</t>
  </si>
  <si>
    <t xml:space="preserve">Total - Federal Revenues </t>
  </si>
  <si>
    <t xml:space="preserve">Total - Other State Revenues </t>
  </si>
  <si>
    <t xml:space="preserve">Total - Local Revenues </t>
  </si>
  <si>
    <t xml:space="preserve">1. All Other Financing Sources </t>
  </si>
  <si>
    <t>4. TOTAL OTHER FINANCING SOURCES/USES</t>
  </si>
  <si>
    <t>1. Beginning Fund Balance/Net Position</t>
  </si>
  <si>
    <t>c. Adjusted Beginning Fund Balance/Net Position</t>
  </si>
  <si>
    <t>b. Adjustments/Restatements</t>
  </si>
  <si>
    <t>7. Prepaid Expenditures (Expenses)</t>
  </si>
  <si>
    <t>Fair Value Adjustment to Cash in County Treasury</t>
  </si>
  <si>
    <t>With Fiscal Agent/Trustee</t>
  </si>
  <si>
    <t>H. DEFERRED OUTFLOWS OF RESOURCES</t>
  </si>
  <si>
    <t>1. Deferred Outflows of Resources</t>
  </si>
  <si>
    <t xml:space="preserve">I. LIABILITIES </t>
  </si>
  <si>
    <t>J. DEFERRED INFLOWS OF RESOURCES</t>
  </si>
  <si>
    <t>1. Deferred Inflows of Resources</t>
  </si>
  <si>
    <t>B. EXPENDITURES AND OTHER OUTGO (1000-7499)</t>
  </si>
  <si>
    <t>8600-8799</t>
  </si>
  <si>
    <t>D. OTHER FINANCING SOURCES/USES (7600-7699, 8930-8999)</t>
  </si>
  <si>
    <t>Components of Ending Net Position</t>
  </si>
  <si>
    <t xml:space="preserve">Debt Service - Interest </t>
  </si>
  <si>
    <t xml:space="preserve">1. Ending Fund Balance/Net Position  (G10+H2-I7-J2) </t>
  </si>
  <si>
    <t>c. Unrestricted Net Position</t>
  </si>
  <si>
    <t xml:space="preserve">b. Restricted Net Position </t>
  </si>
  <si>
    <t>(Include contribution to the unfunded cost of Special Education)</t>
  </si>
  <si>
    <t>CELLS G178, I178 AND K178 MUST BE ZERO OR BLANK</t>
  </si>
  <si>
    <t>Description</t>
  </si>
  <si>
    <t>Accrual Basis</t>
  </si>
  <si>
    <t>9400-9489</t>
  </si>
  <si>
    <t>Other LCFF Transfers</t>
  </si>
  <si>
    <t>8091, 8097</t>
  </si>
  <si>
    <t>1. Local Control Funding Formula (LCFF) Sources - (8011-8097)</t>
  </si>
  <si>
    <t>8677, 8590</t>
  </si>
  <si>
    <t>Financial Accounting Department</t>
  </si>
  <si>
    <t>Charter Schools Accounting Office</t>
  </si>
  <si>
    <t>Unrestricted Budget</t>
  </si>
  <si>
    <t>Restricted Budget</t>
  </si>
  <si>
    <t>Total Budget</t>
  </si>
  <si>
    <t>Proposition 39 - California Clean Energy Jobs Act (Res 6230)</t>
  </si>
  <si>
    <t>Charter School Facility Grant Program (SB 740) (Res 6030)</t>
  </si>
  <si>
    <t>After School Education and Safety (ASES) (Res 6010)</t>
  </si>
  <si>
    <t>Mandate Block Grant (Res 0000)</t>
  </si>
  <si>
    <t>Common Core Standards Implementation (Res 7405)</t>
  </si>
  <si>
    <t>Lottery, Unrestricted (Res 1100)</t>
  </si>
  <si>
    <t>OPEB, Allocated</t>
  </si>
  <si>
    <t>OPEB, Active Employees</t>
  </si>
  <si>
    <t>3751-3752</t>
  </si>
  <si>
    <t>Other Employee Benefits</t>
  </si>
  <si>
    <t>Depreciation Expense (See Sections G.9 &amp; F.2.a)</t>
  </si>
  <si>
    <t>State Special Education (Res 6500)</t>
  </si>
  <si>
    <t>Child Nutrition - Federal  (NSLP) (Res 5310 and others)</t>
  </si>
  <si>
    <t>Projected EFB/NP (Higher of Budget or Actual)</t>
  </si>
  <si>
    <t>4. Local Revenue (8600-8799)</t>
  </si>
  <si>
    <t xml:space="preserve">All Local Revenues </t>
  </si>
  <si>
    <t>Fed Sp Ed, IDEA Mental Health Allocation Plan, Part B, Sec 611 (Res 3327)</t>
  </si>
  <si>
    <t>Authorizing Agency Contact:</t>
  </si>
  <si>
    <t>OASDI/Medicare (Social Security)</t>
  </si>
  <si>
    <t>Food (Food used in food-service activities for which the purpose is nutrition)</t>
  </si>
  <si>
    <t>State Special Education Mental Health Services (Res 6512)</t>
  </si>
  <si>
    <t xml:space="preserve">2. Projected Ending Fund Balance/Net Position, June 30 (E + F.1.c.) </t>
  </si>
  <si>
    <t>Transfers to Charter Schools In Lieu of Property Taxes - CY &amp; PY (Res 0000)</t>
  </si>
  <si>
    <t xml:space="preserve">Total, LCFF Sources </t>
  </si>
  <si>
    <t>ESEA (ESSA), Title I, Part A, Basic Grants Low-Income and Neglected (Res 3010)</t>
  </si>
  <si>
    <t>ESEA (ESSA): Title II, Part A, Improving Teacher Quality Program (Res 4035)</t>
  </si>
  <si>
    <t>ESEA (ESSA): Title III, Limited English Proficient Student Program (Res 4203)</t>
  </si>
  <si>
    <t>ESEA (ESSA): Title III, Immigrant Education Program (Res 4201)</t>
  </si>
  <si>
    <t>Nadine Creer (ncreer@sandi.net)</t>
  </si>
  <si>
    <t>Theresa Goody (tgoody@sandi.net)</t>
  </si>
  <si>
    <t>Has board approved a revised budget? (check box below)</t>
  </si>
  <si>
    <t>No.</t>
  </si>
  <si>
    <t>Yes. (Enter board approved revision date below)</t>
  </si>
  <si>
    <t>Revised Date:</t>
  </si>
  <si>
    <t>Charter School Name:</t>
  </si>
  <si>
    <t>( A + C )</t>
  </si>
  <si>
    <t>( B + D)</t>
  </si>
  <si>
    <t>( E + H )</t>
  </si>
  <si>
    <t>E</t>
  </si>
  <si>
    <t>F</t>
  </si>
  <si>
    <t>G</t>
  </si>
  <si>
    <t>H</t>
  </si>
  <si>
    <t>A</t>
  </si>
  <si>
    <t>B</t>
  </si>
  <si>
    <t>C</t>
  </si>
  <si>
    <t>D</t>
  </si>
  <si>
    <t>Lottery, Restricted - Prop 20 (Res 6300)</t>
  </si>
  <si>
    <t>ESSA: Title V, Part B, Public Charter Schools Grant Program (Res 4610)</t>
  </si>
  <si>
    <t xml:space="preserve">Teachers' Salaries </t>
  </si>
  <si>
    <t xml:space="preserve">Pupil Support Salaries  </t>
  </si>
  <si>
    <t xml:space="preserve">Supervisors' and Administrators' Salaries </t>
  </si>
  <si>
    <t>Instructional Salaries</t>
  </si>
  <si>
    <t xml:space="preserve">Support Salaries </t>
  </si>
  <si>
    <t xml:space="preserve">Supervisors' and Administrators' Salaries  </t>
  </si>
  <si>
    <t>Rentals,Leases,Repairs,and Noncapitalized Improvements</t>
  </si>
  <si>
    <t xml:space="preserve">Transfers of Pass-Through Revenues to Other LEAs </t>
  </si>
  <si>
    <t>10. Total Assets</t>
  </si>
  <si>
    <t>2. Total Deferred Outflows</t>
  </si>
  <si>
    <t>7. Total Liabilities</t>
  </si>
  <si>
    <t>2. Total Deferred inflows of Resources</t>
  </si>
  <si>
    <t>Amount over Budget</t>
  </si>
  <si>
    <t>Fed SpEd, IDEA Basic Local Assistance Entitlement, Part B, Sec 611 (Res 3310)</t>
  </si>
  <si>
    <t>( G - E )</t>
  </si>
  <si>
    <t>Maintenance and Operations (Public Law 81-874) (Res 0000)</t>
  </si>
  <si>
    <t>7300-7399</t>
  </si>
  <si>
    <t>7430-7439</t>
  </si>
  <si>
    <t>1st Interim Budget                 (B)</t>
  </si>
  <si>
    <t>Favorable / (Unfavorable)</t>
  </si>
  <si>
    <t>3. Other State Revenues (8300-8599)</t>
  </si>
  <si>
    <t>2. Federal Revenues (8100-8299)</t>
  </si>
  <si>
    <t>ESEA (ESSA): Title IV, 21st Century Learning Communities (Res 4124)</t>
  </si>
  <si>
    <t>ESEA (ESSA): Title IV, Part A, Student Support and Academic Enrichment Grants (Res 4127)</t>
  </si>
  <si>
    <t>COVID-19 LEA Response Funds (SB 117) (Res 7388)</t>
  </si>
  <si>
    <r>
      <t>LCFF State Aid - Current Year (CY)</t>
    </r>
    <r>
      <rPr>
        <i/>
        <sz val="11"/>
        <rFont val="Cambria"/>
        <family val="1"/>
        <scheme val="major"/>
      </rPr>
      <t xml:space="preserve"> (Res 0000)</t>
    </r>
  </si>
  <si>
    <r>
      <t>Education Protection Account State Aid (EPA) - CY</t>
    </r>
    <r>
      <rPr>
        <i/>
        <sz val="11"/>
        <rFont val="Cambria"/>
        <family val="1"/>
        <scheme val="major"/>
      </rPr>
      <t xml:space="preserve"> (Res 1400)</t>
    </r>
  </si>
  <si>
    <r>
      <t>State Aid - Prior Years (</t>
    </r>
    <r>
      <rPr>
        <i/>
        <sz val="11"/>
        <rFont val="Cambria"/>
        <family val="1"/>
        <scheme val="major"/>
      </rPr>
      <t>LCFF State Aid and EPA) (Res 0000 and Res 1400)</t>
    </r>
  </si>
  <si>
    <r>
      <t>Other Federal Revenues</t>
    </r>
    <r>
      <rPr>
        <i/>
        <sz val="11"/>
        <rFont val="Cambria"/>
        <family val="1"/>
        <scheme val="major"/>
      </rPr>
      <t xml:space="preserve"> (All other resources not reported separately)</t>
    </r>
  </si>
  <si>
    <r>
      <t xml:space="preserve">Other State Revenues </t>
    </r>
    <r>
      <rPr>
        <i/>
        <sz val="11"/>
        <rFont val="Cambria"/>
        <family val="1"/>
        <scheme val="major"/>
      </rPr>
      <t>(All other resources not reported separately)</t>
    </r>
  </si>
  <si>
    <r>
      <t xml:space="preserve">Transfer of Direct Costs </t>
    </r>
    <r>
      <rPr>
        <b/>
        <i/>
        <sz val="11"/>
        <rFont val="Cambria"/>
        <family val="1"/>
        <scheme val="major"/>
      </rPr>
      <t>(MUST</t>
    </r>
    <r>
      <rPr>
        <i/>
        <sz val="11"/>
        <rFont val="Cambria"/>
        <family val="1"/>
        <scheme val="major"/>
      </rPr>
      <t xml:space="preserve"> net to zero)</t>
    </r>
  </si>
  <si>
    <r>
      <t xml:space="preserve">Prof/Consulting Svcs and Operating Expend </t>
    </r>
    <r>
      <rPr>
        <i/>
        <sz val="11"/>
        <rFont val="Cambria"/>
        <family val="1"/>
        <scheme val="major"/>
      </rPr>
      <t>(</t>
    </r>
    <r>
      <rPr>
        <b/>
        <i/>
        <sz val="11"/>
        <rFont val="Cambria"/>
        <family val="1"/>
        <scheme val="major"/>
      </rPr>
      <t>Include District Oversight</t>
    </r>
    <r>
      <rPr>
        <i/>
        <sz val="11"/>
        <rFont val="Cambria"/>
        <family val="1"/>
        <scheme val="major"/>
      </rPr>
      <t>)</t>
    </r>
  </si>
  <si>
    <r>
      <t xml:space="preserve">Tuition to Other Schools </t>
    </r>
    <r>
      <rPr>
        <i/>
        <sz val="11"/>
        <rFont val="Cambria"/>
        <family val="1"/>
        <scheme val="major"/>
      </rPr>
      <t>(Include contribution to unfunded cost of Sp Ed.)</t>
    </r>
  </si>
  <si>
    <r>
      <t xml:space="preserve">Transfers of Indirect Costs </t>
    </r>
    <r>
      <rPr>
        <i/>
        <sz val="11"/>
        <rFont val="Cambria"/>
        <family val="1"/>
        <scheme val="major"/>
      </rPr>
      <t>(</t>
    </r>
    <r>
      <rPr>
        <b/>
        <i/>
        <sz val="11"/>
        <rFont val="Cambria"/>
        <family val="1"/>
        <scheme val="major"/>
      </rPr>
      <t xml:space="preserve">MUST </t>
    </r>
    <r>
      <rPr>
        <i/>
        <sz val="11"/>
        <rFont val="Cambria"/>
        <family val="1"/>
        <scheme val="major"/>
      </rPr>
      <t>net to zero)</t>
    </r>
  </si>
  <si>
    <r>
      <t>3. Contributions between unrestricted and restricted accounts</t>
    </r>
    <r>
      <rPr>
        <i/>
        <sz val="11"/>
        <rFont val="Cambria"/>
        <family val="1"/>
        <scheme val="major"/>
      </rPr>
      <t xml:space="preserve"> (</t>
    </r>
    <r>
      <rPr>
        <b/>
        <i/>
        <sz val="11"/>
        <rFont val="Cambria"/>
        <family val="1"/>
        <scheme val="major"/>
      </rPr>
      <t xml:space="preserve">MUST </t>
    </r>
    <r>
      <rPr>
        <i/>
        <sz val="11"/>
        <rFont val="Cambria"/>
        <family val="1"/>
        <scheme val="major"/>
      </rPr>
      <t>net to zero)</t>
    </r>
  </si>
  <si>
    <r>
      <t>E. NET INCREASE (DECREASE) IN FUND BALANCE/NET POSITION</t>
    </r>
    <r>
      <rPr>
        <i/>
        <sz val="11"/>
        <rFont val="Cambria"/>
        <family val="1"/>
        <scheme val="major"/>
      </rPr>
      <t xml:space="preserve"> </t>
    </r>
    <r>
      <rPr>
        <sz val="11"/>
        <rFont val="Cambria"/>
        <family val="1"/>
        <scheme val="major"/>
      </rPr>
      <t xml:space="preserve">(C + D.4.) </t>
    </r>
  </si>
  <si>
    <t>Charter School First Interim Report</t>
  </si>
  <si>
    <r>
      <t xml:space="preserve">F. FUND BALANCE/NET POSITION  </t>
    </r>
    <r>
      <rPr>
        <i/>
        <sz val="11"/>
        <rFont val="Cambria"/>
        <family val="1"/>
        <scheme val="major"/>
      </rPr>
      <t xml:space="preserve">(Budget and Actuals </t>
    </r>
    <r>
      <rPr>
        <b/>
        <i/>
        <sz val="11"/>
        <rFont val="Cambria"/>
        <family val="1"/>
        <scheme val="major"/>
      </rPr>
      <t>MUST</t>
    </r>
    <r>
      <rPr>
        <i/>
        <sz val="11"/>
        <rFont val="Cambria"/>
        <family val="1"/>
        <scheme val="major"/>
      </rPr>
      <t xml:space="preserve"> match) ( F.1.a-b)</t>
    </r>
  </si>
  <si>
    <r>
      <t>a. July 1 (</t>
    </r>
    <r>
      <rPr>
        <b/>
        <sz val="11"/>
        <rFont val="Cambria"/>
        <family val="1"/>
        <scheme val="major"/>
      </rPr>
      <t xml:space="preserve">MUST </t>
    </r>
    <r>
      <rPr>
        <sz val="11"/>
        <rFont val="Cambria"/>
        <family val="1"/>
        <scheme val="major"/>
      </rPr>
      <t xml:space="preserve">match </t>
    </r>
    <r>
      <rPr>
        <i/>
        <sz val="11"/>
        <rFont val="Cambria"/>
        <family val="1"/>
        <scheme val="major"/>
      </rPr>
      <t>EFB/Net Position of PY Unaudited Actuals, Section F.2)</t>
    </r>
  </si>
  <si>
    <r>
      <t>a. Net Investment in Capital Assets</t>
    </r>
    <r>
      <rPr>
        <i/>
        <sz val="11"/>
        <rFont val="Cambria"/>
        <family val="1"/>
        <scheme val="major"/>
      </rPr>
      <t xml:space="preserve"> (</t>
    </r>
    <r>
      <rPr>
        <b/>
        <i/>
        <sz val="11"/>
        <rFont val="Cambria"/>
        <family val="1"/>
        <scheme val="major"/>
      </rPr>
      <t>See Sections B.6 and G.9</t>
    </r>
    <r>
      <rPr>
        <i/>
        <sz val="11"/>
        <rFont val="Cambria"/>
        <family val="1"/>
        <scheme val="major"/>
      </rPr>
      <t>)</t>
    </r>
  </si>
  <si>
    <r>
      <t>9. Capital Assets (</t>
    </r>
    <r>
      <rPr>
        <b/>
        <sz val="11"/>
        <rFont val="Cambria"/>
        <family val="1"/>
        <scheme val="major"/>
      </rPr>
      <t>See Sections B.6 &amp; F.2.a</t>
    </r>
    <r>
      <rPr>
        <sz val="11"/>
        <rFont val="Cambria"/>
        <family val="1"/>
        <scheme val="major"/>
      </rPr>
      <t>)</t>
    </r>
  </si>
  <si>
    <r>
      <rPr>
        <b/>
        <i/>
        <sz val="11"/>
        <rFont val="Cambria"/>
        <family val="1"/>
        <scheme val="major"/>
      </rPr>
      <t>(MUST</t>
    </r>
    <r>
      <rPr>
        <i/>
        <sz val="11"/>
        <rFont val="Cambria"/>
        <family val="1"/>
        <scheme val="major"/>
      </rPr>
      <t xml:space="preserve"> agree with F.2)</t>
    </r>
  </si>
  <si>
    <t>$ Difference                  (Col B &amp; A)                     (C)</t>
  </si>
  <si>
    <t>% Change                         (C/A)                                        (D)</t>
  </si>
  <si>
    <t xml:space="preserve">        CDS #:</t>
  </si>
  <si>
    <t xml:space="preserve">   Charter Approving Entity: </t>
  </si>
  <si>
    <t xml:space="preserve">       County:</t>
  </si>
  <si>
    <t xml:space="preserve">  SBE Charter #:</t>
  </si>
  <si>
    <t>San Diego</t>
  </si>
  <si>
    <t>Instructions:</t>
  </si>
  <si>
    <t>Column J "% Change" - will automatically populate</t>
  </si>
  <si>
    <r>
      <t xml:space="preserve">Column K "Explanation" - provide an explanation if Column  J is highlighted in </t>
    </r>
    <r>
      <rPr>
        <sz val="11"/>
        <color rgb="FFFF0000"/>
        <rFont val="Cambria"/>
        <family val="1"/>
      </rPr>
      <t>RED</t>
    </r>
  </si>
  <si>
    <t>Column H "1st Interim Budget" - will automatically populate (linked to 1st Interim tab)</t>
  </si>
  <si>
    <t>Column I "$ Difference" - will automatically populate</t>
  </si>
  <si>
    <r>
      <t xml:space="preserve">Explanation of Change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ambria"/>
        <family val="1"/>
      </rPr>
      <t xml:space="preserve"> (e.g. enrollment increase from 350 students to 280.; one-time purchase of 100 chrome books, etc.)  </t>
    </r>
    <r>
      <rPr>
        <b/>
        <sz val="11"/>
        <rFont val="Cambria"/>
        <family val="1"/>
      </rPr>
      <t xml:space="preserve">                                                                                                                                                  =&gt;10% and =&gt;(-10%)                                                                                                                                                         </t>
    </r>
  </si>
  <si>
    <t>BUDGET VARIANCE ANALYSIS</t>
  </si>
  <si>
    <t>See cell  M128</t>
  </si>
  <si>
    <t>Preliminary Budget           (A)</t>
  </si>
  <si>
    <t>1st Interim Budget vs Preliminary Budget</t>
  </si>
  <si>
    <t>San Diego Unified School District</t>
  </si>
  <si>
    <t>FY 2022-2023</t>
  </si>
  <si>
    <t>For the Period July 1, 2022 through October 31, 2022</t>
  </si>
  <si>
    <t>Unrestricted Actuals through 10/31/22</t>
  </si>
  <si>
    <t>Restricted Actuals through 10/31/22</t>
  </si>
  <si>
    <t>Total Actuals through 10/31/22</t>
  </si>
  <si>
    <t>K. ENDING FUND BALANCE/NET POSITION, October 31, 2022</t>
  </si>
  <si>
    <t>FY 2022-23</t>
  </si>
  <si>
    <t>Column G "Preliminary Budget" - manual input (data source: Budget submitted in June 2022)</t>
  </si>
  <si>
    <t>America's Finest Charter School</t>
  </si>
  <si>
    <t>37-68338-0136663</t>
  </si>
  <si>
    <t>School will utilize less Title IV Funds</t>
  </si>
  <si>
    <t>School will utilize additional restricted revenues to offset respective expenses.</t>
  </si>
  <si>
    <t>Due to ADA decrease</t>
  </si>
  <si>
    <t>Increase in teachers</t>
  </si>
  <si>
    <t>Increase in teachers and employee shuffle between object codes</t>
  </si>
  <si>
    <t>Decrease in admin and employee shuffle between object codes</t>
  </si>
  <si>
    <t>Decrease in staff positions</t>
  </si>
  <si>
    <t>Due to increase in teachers</t>
  </si>
  <si>
    <t>expense shuffle between object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</si>
</sst>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000\)\ 000\-0000"/>
  </numFmts>
  <fonts count="19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4"/>
      <name val="Cambria"/>
      <family val="1"/>
      <scheme val="major"/>
    </font>
    <font>
      <sz val="11"/>
      <name val="Cambria"/>
      <family val="1"/>
    </font>
    <font>
      <b/>
      <i/>
      <sz val="11"/>
      <name val="Cambria"/>
      <family val="1"/>
    </font>
    <font>
      <sz val="11"/>
      <color rgb="FFFF0000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darkTrellis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darkTrellis">
        <fgColor theme="1" tint="0.149967955565050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44" fontId="2" fillId="0" borderId="0" xfId="0" applyNumberFormat="1" applyFont="1"/>
    <xf numFmtId="41" fontId="2" fillId="0" borderId="0" xfId="1" applyNumberFormat="1" applyFont="1" applyAlignment="1" applyProtection="1"/>
    <xf numFmtId="41" fontId="2" fillId="0" borderId="1" xfId="0" applyNumberFormat="1" applyFont="1" applyBorder="1"/>
    <xf numFmtId="0" fontId="2" fillId="0" borderId="1" xfId="0" applyFont="1" applyBorder="1"/>
    <xf numFmtId="41" fontId="2" fillId="0" borderId="4" xfId="0" applyNumberFormat="1" applyFont="1" applyBorder="1"/>
    <xf numFmtId="0" fontId="2" fillId="0" borderId="4" xfId="0" applyFont="1" applyBorder="1"/>
    <xf numFmtId="39" fontId="2" fillId="0" borderId="0" xfId="0" applyNumberFormat="1" applyFont="1"/>
    <xf numFmtId="0" fontId="3" fillId="0" borderId="1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43" fontId="3" fillId="2" borderId="1" xfId="0" applyNumberFormat="1" applyFont="1" applyFill="1" applyBorder="1"/>
    <xf numFmtId="44" fontId="3" fillId="2" borderId="1" xfId="0" applyNumberFormat="1" applyFont="1" applyFill="1" applyBorder="1"/>
    <xf numFmtId="43" fontId="3" fillId="0" borderId="1" xfId="0" applyNumberFormat="1" applyFont="1" applyBorder="1"/>
    <xf numFmtId="44" fontId="3" fillId="0" borderId="1" xfId="0" applyNumberFormat="1" applyFont="1" applyBorder="1"/>
    <xf numFmtId="44" fontId="3" fillId="0" borderId="12" xfId="0" applyNumberFormat="1" applyFont="1" applyBorder="1"/>
    <xf numFmtId="44" fontId="3" fillId="0" borderId="0" xfId="0" applyNumberFormat="1" applyFont="1"/>
    <xf numFmtId="0" fontId="3" fillId="0" borderId="0" xfId="0" applyFont="1"/>
    <xf numFmtId="3" fontId="2" fillId="0" borderId="0" xfId="0" applyNumberFormat="1" applyFont="1"/>
    <xf numFmtId="41" fontId="2" fillId="0" borderId="0" xfId="1" applyNumberFormat="1" applyFont="1" applyBorder="1" applyAlignment="1" applyProtection="1"/>
    <xf numFmtId="41" fontId="2" fillId="0" borderId="1" xfId="1" applyNumberFormat="1" applyFont="1" applyBorder="1" applyAlignment="1" applyProtection="1"/>
    <xf numFmtId="41" fontId="2" fillId="0" borderId="4" xfId="1" applyNumberFormat="1" applyFont="1" applyBorder="1" applyAlignment="1" applyProtection="1"/>
    <xf numFmtId="0" fontId="4" fillId="0" borderId="0" xfId="0" applyFont="1" applyAlignment="1">
      <alignment horizontal="center"/>
    </xf>
    <xf numFmtId="0" fontId="2" fillId="4" borderId="0" xfId="0" applyFont="1" applyFill="1"/>
    <xf numFmtId="0" fontId="2" fillId="4" borderId="21" xfId="0" applyFont="1" applyFill="1" applyBorder="1"/>
    <xf numFmtId="0" fontId="2" fillId="4" borderId="19" xfId="0" applyFont="1" applyFill="1" applyBorder="1"/>
    <xf numFmtId="0" fontId="2" fillId="4" borderId="17" xfId="0" applyFont="1" applyFill="1" applyBorder="1"/>
    <xf numFmtId="0" fontId="2" fillId="4" borderId="20" xfId="0" applyFont="1" applyFill="1" applyBorder="1"/>
    <xf numFmtId="0" fontId="4" fillId="4" borderId="17" xfId="0" applyFont="1" applyFill="1" applyBorder="1" applyAlignment="1">
      <alignment horizontal="center"/>
    </xf>
    <xf numFmtId="0" fontId="2" fillId="0" borderId="17" xfId="0" applyFont="1" applyBorder="1"/>
    <xf numFmtId="0" fontId="7" fillId="4" borderId="17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7" fillId="4" borderId="18" xfId="0" applyFont="1" applyFill="1" applyBorder="1"/>
    <xf numFmtId="0" fontId="8" fillId="4" borderId="14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7" xfId="0" applyFont="1" applyFill="1" applyBorder="1"/>
    <xf numFmtId="0" fontId="7" fillId="0" borderId="0" xfId="0" applyFont="1"/>
    <xf numFmtId="0" fontId="7" fillId="4" borderId="1" xfId="0" applyFont="1" applyFill="1" applyBorder="1"/>
    <xf numFmtId="0" fontId="7" fillId="4" borderId="10" xfId="0" applyFont="1" applyFill="1" applyBorder="1"/>
    <xf numFmtId="0" fontId="7" fillId="4" borderId="15" xfId="0" applyFont="1" applyFill="1" applyBorder="1"/>
    <xf numFmtId="44" fontId="7" fillId="4" borderId="5" xfId="0" applyNumberFormat="1" applyFont="1" applyFill="1" applyBorder="1" applyAlignment="1">
      <alignment horizontal="center"/>
    </xf>
    <xf numFmtId="44" fontId="7" fillId="4" borderId="5" xfId="0" applyNumberFormat="1" applyFont="1" applyFill="1" applyBorder="1"/>
    <xf numFmtId="44" fontId="7" fillId="4" borderId="3" xfId="0" applyNumberFormat="1" applyFont="1" applyFill="1" applyBorder="1"/>
    <xf numFmtId="44" fontId="7" fillId="4" borderId="7" xfId="0" applyNumberFormat="1" applyFont="1" applyFill="1" applyBorder="1"/>
    <xf numFmtId="44" fontId="7" fillId="4" borderId="6" xfId="0" applyNumberFormat="1" applyFont="1" applyFill="1" applyBorder="1"/>
    <xf numFmtId="0" fontId="7" fillId="4" borderId="10" xfId="0" applyFont="1" applyFill="1" applyBorder="1" applyAlignment="1">
      <alignment horizontal="center"/>
    </xf>
    <xf numFmtId="41" fontId="7" fillId="4" borderId="7" xfId="0" applyNumberFormat="1" applyFont="1" applyFill="1" applyBorder="1"/>
    <xf numFmtId="41" fontId="7" fillId="4" borderId="6" xfId="1" applyNumberFormat="1" applyFont="1" applyFill="1" applyBorder="1" applyAlignment="1" applyProtection="1"/>
    <xf numFmtId="0" fontId="7" fillId="4" borderId="12" xfId="0" applyFont="1" applyFill="1" applyBorder="1"/>
    <xf numFmtId="0" fontId="7" fillId="4" borderId="12" xfId="0" applyFont="1" applyFill="1" applyBorder="1" applyAlignment="1">
      <alignment horizontal="center"/>
    </xf>
    <xf numFmtId="41" fontId="7" fillId="0" borderId="13" xfId="0" applyNumberFormat="1" applyFont="1" applyBorder="1"/>
    <xf numFmtId="41" fontId="7" fillId="4" borderId="13" xfId="0" applyNumberFormat="1" applyFont="1" applyFill="1" applyBorder="1"/>
    <xf numFmtId="41" fontId="7" fillId="4" borderId="11" xfId="0" applyNumberFormat="1" applyFont="1" applyFill="1" applyBorder="1"/>
    <xf numFmtId="0" fontId="7" fillId="4" borderId="19" xfId="0" applyFont="1" applyFill="1" applyBorder="1"/>
    <xf numFmtId="0" fontId="7" fillId="4" borderId="4" xfId="0" applyFont="1" applyFill="1" applyBorder="1"/>
    <xf numFmtId="0" fontId="7" fillId="4" borderId="7" xfId="0" applyFont="1" applyFill="1" applyBorder="1" applyAlignment="1">
      <alignment horizontal="center"/>
    </xf>
    <xf numFmtId="41" fontId="7" fillId="4" borderId="5" xfId="0" applyNumberFormat="1" applyFont="1" applyFill="1" applyBorder="1"/>
    <xf numFmtId="41" fontId="7" fillId="4" borderId="6" xfId="0" applyNumberFormat="1" applyFont="1" applyFill="1" applyBorder="1"/>
    <xf numFmtId="0" fontId="7" fillId="4" borderId="13" xfId="0" applyFont="1" applyFill="1" applyBorder="1"/>
    <xf numFmtId="41" fontId="7" fillId="0" borderId="7" xfId="0" applyNumberFormat="1" applyFont="1" applyBorder="1"/>
    <xf numFmtId="41" fontId="7" fillId="4" borderId="5" xfId="0" applyNumberFormat="1" applyFont="1" applyFill="1" applyBorder="1" applyAlignment="1">
      <alignment horizontal="center"/>
    </xf>
    <xf numFmtId="0" fontId="8" fillId="4" borderId="0" xfId="0" applyFont="1" applyFill="1"/>
    <xf numFmtId="0" fontId="8" fillId="4" borderId="10" xfId="0" applyFont="1" applyFill="1" applyBorder="1"/>
    <xf numFmtId="0" fontId="8" fillId="4" borderId="12" xfId="0" applyFont="1" applyFill="1" applyBorder="1"/>
    <xf numFmtId="41" fontId="8" fillId="4" borderId="13" xfId="0" applyNumberFormat="1" applyFont="1" applyFill="1" applyBorder="1"/>
    <xf numFmtId="0" fontId="7" fillId="4" borderId="13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41" fontId="7" fillId="4" borderId="3" xfId="0" applyNumberFormat="1" applyFont="1" applyFill="1" applyBorder="1"/>
    <xf numFmtId="41" fontId="7" fillId="0" borderId="11" xfId="0" applyNumberFormat="1" applyFont="1" applyBorder="1"/>
    <xf numFmtId="0" fontId="8" fillId="4" borderId="12" xfId="0" applyFont="1" applyFill="1" applyBorder="1" applyAlignment="1">
      <alignment horizontal="center"/>
    </xf>
    <xf numFmtId="41" fontId="8" fillId="4" borderId="11" xfId="0" applyNumberFormat="1" applyFont="1" applyFill="1" applyBorder="1"/>
    <xf numFmtId="0" fontId="10" fillId="4" borderId="0" xfId="0" applyFont="1" applyFill="1"/>
    <xf numFmtId="0" fontId="10" fillId="4" borderId="10" xfId="0" applyFont="1" applyFill="1" applyBorder="1"/>
    <xf numFmtId="41" fontId="7" fillId="4" borderId="7" xfId="1" applyNumberFormat="1" applyFont="1" applyFill="1" applyBorder="1" applyAlignment="1" applyProtection="1"/>
    <xf numFmtId="0" fontId="9" fillId="0" borderId="1" xfId="0" applyFont="1" applyBorder="1"/>
    <xf numFmtId="0" fontId="9" fillId="2" borderId="1" xfId="0" applyFont="1" applyFill="1" applyBorder="1" applyAlignment="1">
      <alignment horizontal="right"/>
    </xf>
    <xf numFmtId="44" fontId="9" fillId="0" borderId="1" xfId="0" applyNumberFormat="1" applyFont="1" applyBorder="1"/>
    <xf numFmtId="44" fontId="9" fillId="2" borderId="1" xfId="0" applyNumberFormat="1" applyFont="1" applyFill="1" applyBorder="1"/>
    <xf numFmtId="44" fontId="9" fillId="0" borderId="12" xfId="0" applyNumberFormat="1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49" fontId="7" fillId="4" borderId="0" xfId="0" quotePrefix="1" applyNumberFormat="1" applyFont="1" applyFill="1" applyAlignment="1">
      <alignment horizontal="left"/>
    </xf>
    <xf numFmtId="49" fontId="7" fillId="4" borderId="0" xfId="0" quotePrefix="1" applyNumberFormat="1" applyFont="1" applyFill="1" applyAlignment="1">
      <alignment horizontal="left" vertical="center"/>
    </xf>
    <xf numFmtId="164" fontId="7" fillId="4" borderId="0" xfId="1" applyNumberFormat="1" applyFont="1" applyFill="1" applyBorder="1" applyAlignment="1" applyProtection="1">
      <alignment horizontal="left" indent="1"/>
      <protection locked="0"/>
    </xf>
    <xf numFmtId="164" fontId="7" fillId="4" borderId="0" xfId="1" applyNumberFormat="1" applyFont="1" applyFill="1" applyBorder="1" applyAlignment="1" applyProtection="1"/>
    <xf numFmtId="0" fontId="12" fillId="4" borderId="0" xfId="0" applyFont="1" applyFill="1" applyProtection="1">
      <protection locked="0"/>
    </xf>
    <xf numFmtId="14" fontId="7" fillId="4" borderId="0" xfId="0" applyNumberFormat="1" applyFont="1" applyFill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49" fontId="11" fillId="4" borderId="0" xfId="0" quotePrefix="1" applyNumberFormat="1" applyFont="1" applyFill="1" applyAlignment="1">
      <alignment horizontal="center"/>
    </xf>
    <xf numFmtId="3" fontId="7" fillId="4" borderId="7" xfId="0" applyNumberFormat="1" applyFont="1" applyFill="1" applyBorder="1" applyAlignment="1">
      <alignment horizontal="center"/>
    </xf>
    <xf numFmtId="0" fontId="7" fillId="4" borderId="9" xfId="0" applyFont="1" applyFill="1" applyBorder="1"/>
    <xf numFmtId="0" fontId="7" fillId="4" borderId="14" xfId="0" applyFont="1" applyFill="1" applyBorder="1"/>
    <xf numFmtId="0" fontId="7" fillId="4" borderId="8" xfId="0" applyFont="1" applyFill="1" applyBorder="1" applyAlignment="1">
      <alignment horizontal="center"/>
    </xf>
    <xf numFmtId="41" fontId="7" fillId="3" borderId="7" xfId="0" applyNumberFormat="1" applyFont="1" applyFill="1" applyBorder="1"/>
    <xf numFmtId="41" fontId="7" fillId="0" borderId="6" xfId="0" applyNumberFormat="1" applyFont="1" applyBorder="1"/>
    <xf numFmtId="41" fontId="7" fillId="6" borderId="7" xfId="0" applyNumberFormat="1" applyFont="1" applyFill="1" applyBorder="1"/>
    <xf numFmtId="41" fontId="7" fillId="4" borderId="14" xfId="0" applyNumberFormat="1" applyFont="1" applyFill="1" applyBorder="1"/>
    <xf numFmtId="41" fontId="7" fillId="4" borderId="2" xfId="0" applyNumberFormat="1" applyFont="1" applyFill="1" applyBorder="1"/>
    <xf numFmtId="41" fontId="7" fillId="4" borderId="8" xfId="0" applyNumberFormat="1" applyFont="1" applyFill="1" applyBorder="1"/>
    <xf numFmtId="41" fontId="7" fillId="3" borderId="5" xfId="0" applyNumberFormat="1" applyFont="1" applyFill="1" applyBorder="1"/>
    <xf numFmtId="0" fontId="7" fillId="4" borderId="21" xfId="0" applyFont="1" applyFill="1" applyBorder="1"/>
    <xf numFmtId="0" fontId="7" fillId="4" borderId="22" xfId="0" applyFont="1" applyFill="1" applyBorder="1"/>
    <xf numFmtId="0" fontId="9" fillId="4" borderId="22" xfId="0" applyFont="1" applyFill="1" applyBorder="1"/>
    <xf numFmtId="0" fontId="9" fillId="4" borderId="23" xfId="0" applyFont="1" applyFill="1" applyBorder="1"/>
    <xf numFmtId="0" fontId="7" fillId="4" borderId="23" xfId="0" applyFont="1" applyFill="1" applyBorder="1" applyAlignment="1">
      <alignment horizontal="center"/>
    </xf>
    <xf numFmtId="41" fontId="7" fillId="3" borderId="24" xfId="0" applyNumberFormat="1" applyFont="1" applyFill="1" applyBorder="1"/>
    <xf numFmtId="41" fontId="7" fillId="4" borderId="24" xfId="0" applyNumberFormat="1" applyFont="1" applyFill="1" applyBorder="1"/>
    <xf numFmtId="41" fontId="7" fillId="4" borderId="25" xfId="0" applyNumberFormat="1" applyFont="1" applyFill="1" applyBorder="1"/>
    <xf numFmtId="0" fontId="4" fillId="4" borderId="17" xfId="0" applyFont="1" applyFill="1" applyBorder="1"/>
    <xf numFmtId="0" fontId="8" fillId="4" borderId="13" xfId="0" applyFont="1" applyFill="1" applyBorder="1"/>
    <xf numFmtId="0" fontId="4" fillId="0" borderId="0" xfId="0" applyFont="1"/>
    <xf numFmtId="0" fontId="8" fillId="4" borderId="1" xfId="0" applyFont="1" applyFill="1" applyBorder="1"/>
    <xf numFmtId="41" fontId="8" fillId="0" borderId="13" xfId="0" applyNumberFormat="1" applyFont="1" applyBorder="1"/>
    <xf numFmtId="41" fontId="8" fillId="0" borderId="7" xfId="0" applyNumberFormat="1" applyFont="1" applyBorder="1"/>
    <xf numFmtId="41" fontId="8" fillId="4" borderId="7" xfId="0" applyNumberFormat="1" applyFont="1" applyFill="1" applyBorder="1"/>
    <xf numFmtId="0" fontId="8" fillId="4" borderId="13" xfId="0" applyFont="1" applyFill="1" applyBorder="1" applyAlignment="1">
      <alignment horizontal="center"/>
    </xf>
    <xf numFmtId="0" fontId="7" fillId="4" borderId="0" xfId="0" applyFont="1" applyFill="1" applyProtection="1">
      <protection locked="0"/>
    </xf>
    <xf numFmtId="0" fontId="14" fillId="4" borderId="0" xfId="0" applyFont="1" applyFill="1"/>
    <xf numFmtId="0" fontId="14" fillId="4" borderId="0" xfId="0" applyFont="1" applyFill="1" applyAlignment="1">
      <alignment horizontal="left"/>
    </xf>
    <xf numFmtId="0" fontId="4" fillId="4" borderId="17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9" fontId="7" fillId="4" borderId="6" xfId="2" applyFont="1" applyFill="1" applyBorder="1" applyAlignment="1" applyProtection="1"/>
    <xf numFmtId="9" fontId="8" fillId="4" borderId="11" xfId="2" applyFont="1" applyFill="1" applyBorder="1" applyAlignment="1" applyProtection="1"/>
    <xf numFmtId="9" fontId="8" fillId="4" borderId="11" xfId="0" applyNumberFormat="1" applyFont="1" applyFill="1" applyBorder="1"/>
    <xf numFmtId="41" fontId="7" fillId="3" borderId="6" xfId="0" applyNumberFormat="1" applyFont="1" applyFill="1" applyBorder="1"/>
    <xf numFmtId="0" fontId="9" fillId="0" borderId="2" xfId="0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/>
    </xf>
    <xf numFmtId="41" fontId="8" fillId="0" borderId="13" xfId="1" applyNumberFormat="1" applyFont="1" applyFill="1" applyBorder="1" applyAlignment="1" applyProtection="1">
      <protection locked="0"/>
    </xf>
    <xf numFmtId="0" fontId="14" fillId="4" borderId="2" xfId="0" applyFont="1" applyFill="1" applyBorder="1" applyAlignment="1">
      <alignment horizontal="left"/>
    </xf>
    <xf numFmtId="0" fontId="2" fillId="4" borderId="10" xfId="0" applyFont="1" applyFill="1" applyBorder="1"/>
    <xf numFmtId="41" fontId="2" fillId="4" borderId="7" xfId="0" applyNumberFormat="1" applyFont="1" applyFill="1" applyBorder="1"/>
    <xf numFmtId="41" fontId="2" fillId="0" borderId="7" xfId="0" applyNumberFormat="1" applyFont="1" applyBorder="1" applyProtection="1">
      <protection locked="0"/>
    </xf>
    <xf numFmtId="0" fontId="8" fillId="0" borderId="11" xfId="0" applyFont="1" applyBorder="1" applyAlignment="1">
      <alignment horizontal="center" vertical="center" wrapText="1"/>
    </xf>
    <xf numFmtId="41" fontId="7" fillId="0" borderId="7" xfId="1" applyNumberFormat="1" applyFont="1" applyFill="1" applyBorder="1" applyAlignment="1" applyProtection="1"/>
    <xf numFmtId="41" fontId="7" fillId="4" borderId="7" xfId="0" applyNumberFormat="1" applyFont="1" applyFill="1" applyBorder="1" applyAlignment="1">
      <alignment horizontal="center"/>
    </xf>
    <xf numFmtId="0" fontId="7" fillId="4" borderId="0" xfId="0" applyFont="1" applyFill="1" applyAlignment="1" applyProtection="1">
      <alignment horizontal="left"/>
      <protection locked="0"/>
    </xf>
    <xf numFmtId="0" fontId="8" fillId="4" borderId="0" xfId="0" applyFont="1" applyFill="1" applyAlignment="1">
      <alignment horizontal="center"/>
    </xf>
    <xf numFmtId="0" fontId="7" fillId="4" borderId="26" xfId="0" applyFont="1" applyFill="1" applyBorder="1" applyAlignment="1">
      <alignment horizontal="right"/>
    </xf>
    <xf numFmtId="0" fontId="7" fillId="4" borderId="27" xfId="0" applyFont="1" applyFill="1" applyBorder="1"/>
    <xf numFmtId="0" fontId="7" fillId="4" borderId="27" xfId="0" applyFont="1" applyFill="1" applyBorder="1" applyAlignment="1">
      <alignment horizontal="right"/>
    </xf>
    <xf numFmtId="0" fontId="7" fillId="4" borderId="27" xfId="0" applyFont="1" applyFill="1" applyBorder="1" applyAlignment="1">
      <alignment horizontal="left"/>
    </xf>
    <xf numFmtId="0" fontId="13" fillId="4" borderId="27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right" vertical="center"/>
    </xf>
    <xf numFmtId="0" fontId="7" fillId="4" borderId="27" xfId="0" applyFont="1" applyFill="1" applyBorder="1" applyAlignment="1">
      <alignment vertical="center"/>
    </xf>
    <xf numFmtId="0" fontId="7" fillId="4" borderId="28" xfId="0" applyFont="1" applyFill="1" applyBorder="1"/>
    <xf numFmtId="0" fontId="7" fillId="4" borderId="17" xfId="0" applyFont="1" applyFill="1" applyBorder="1" applyAlignment="1">
      <alignment horizontal="right"/>
    </xf>
    <xf numFmtId="0" fontId="9" fillId="4" borderId="29" xfId="0" applyFont="1" applyFill="1" applyBorder="1" applyAlignment="1">
      <alignment horizontal="center"/>
    </xf>
    <xf numFmtId="44" fontId="7" fillId="4" borderId="31" xfId="0" applyNumberFormat="1" applyFont="1" applyFill="1" applyBorder="1"/>
    <xf numFmtId="41" fontId="7" fillId="4" borderId="31" xfId="1" applyNumberFormat="1" applyFont="1" applyFill="1" applyBorder="1" applyAlignment="1" applyProtection="1"/>
    <xf numFmtId="41" fontId="7" fillId="4" borderId="31" xfId="0" applyNumberFormat="1" applyFont="1" applyFill="1" applyBorder="1"/>
    <xf numFmtId="0" fontId="7" fillId="4" borderId="20" xfId="0" applyFont="1" applyFill="1" applyBorder="1"/>
    <xf numFmtId="41" fontId="7" fillId="4" borderId="32" xfId="0" applyNumberFormat="1" applyFont="1" applyFill="1" applyBorder="1"/>
    <xf numFmtId="41" fontId="8" fillId="4" borderId="32" xfId="0" applyNumberFormat="1" applyFont="1" applyFill="1" applyBorder="1"/>
    <xf numFmtId="41" fontId="7" fillId="4" borderId="30" xfId="0" applyNumberFormat="1" applyFont="1" applyFill="1" applyBorder="1"/>
    <xf numFmtId="41" fontId="7" fillId="3" borderId="31" xfId="0" applyNumberFormat="1" applyFont="1" applyFill="1" applyBorder="1"/>
    <xf numFmtId="41" fontId="2" fillId="3" borderId="31" xfId="0" applyNumberFormat="1" applyFont="1" applyFill="1" applyBorder="1"/>
    <xf numFmtId="0" fontId="7" fillId="4" borderId="33" xfId="0" applyFont="1" applyFill="1" applyBorder="1"/>
    <xf numFmtId="41" fontId="7" fillId="3" borderId="30" xfId="0" applyNumberFormat="1" applyFont="1" applyFill="1" applyBorder="1"/>
    <xf numFmtId="41" fontId="7" fillId="3" borderId="34" xfId="0" applyNumberFormat="1" applyFont="1" applyFill="1" applyBorder="1"/>
    <xf numFmtId="0" fontId="7" fillId="4" borderId="17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/>
    </xf>
    <xf numFmtId="44" fontId="7" fillId="4" borderId="7" xfId="0" applyNumberFormat="1" applyFont="1" applyFill="1" applyBorder="1" applyAlignment="1">
      <alignment horizontal="center"/>
    </xf>
    <xf numFmtId="0" fontId="2" fillId="4" borderId="26" xfId="0" applyFont="1" applyFill="1" applyBorder="1"/>
    <xf numFmtId="0" fontId="2" fillId="4" borderId="33" xfId="0" applyFont="1" applyFill="1" applyBorder="1" applyAlignment="1">
      <alignment horizontal="left"/>
    </xf>
    <xf numFmtId="0" fontId="7" fillId="4" borderId="37" xfId="0" applyFont="1" applyFill="1" applyBorder="1" applyAlignment="1">
      <alignment vertical="center"/>
    </xf>
    <xf numFmtId="0" fontId="7" fillId="4" borderId="37" xfId="0" applyFont="1" applyFill="1" applyBorder="1" applyAlignment="1">
      <alignment horizontal="center" vertical="center" wrapText="1"/>
    </xf>
    <xf numFmtId="41" fontId="7" fillId="4" borderId="38" xfId="0" applyNumberFormat="1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7" borderId="2" xfId="0" applyFont="1" applyFill="1" applyBorder="1" applyProtection="1">
      <protection locked="0"/>
    </xf>
    <xf numFmtId="49" fontId="7" fillId="7" borderId="2" xfId="0" quotePrefix="1" applyNumberFormat="1" applyFont="1" applyFill="1" applyBorder="1" applyAlignment="1">
      <alignment horizontal="left" vertical="center"/>
    </xf>
    <xf numFmtId="0" fontId="7" fillId="7" borderId="2" xfId="0" applyFont="1" applyFill="1" applyBorder="1" applyAlignment="1" applyProtection="1">
      <alignment horizontal="left"/>
      <protection locked="0"/>
    </xf>
    <xf numFmtId="41" fontId="7" fillId="7" borderId="7" xfId="0" applyNumberFormat="1" applyFont="1" applyFill="1" applyBorder="1" applyProtection="1">
      <protection locked="0"/>
    </xf>
    <xf numFmtId="41" fontId="7" fillId="7" borderId="6" xfId="0" applyNumberFormat="1" applyFont="1" applyFill="1" applyBorder="1" applyProtection="1">
      <protection locked="0"/>
    </xf>
    <xf numFmtId="41" fontId="2" fillId="7" borderId="7" xfId="0" applyNumberFormat="1" applyFont="1" applyFill="1" applyBorder="1" applyProtection="1">
      <protection locked="0"/>
    </xf>
    <xf numFmtId="41" fontId="2" fillId="7" borderId="6" xfId="0" applyNumberFormat="1" applyFont="1" applyFill="1" applyBorder="1" applyProtection="1">
      <protection locked="0"/>
    </xf>
    <xf numFmtId="41" fontId="7" fillId="7" borderId="7" xfId="0" applyNumberFormat="1" applyFont="1" applyFill="1" applyBorder="1"/>
    <xf numFmtId="41" fontId="7" fillId="7" borderId="6" xfId="0" applyNumberFormat="1" applyFont="1" applyFill="1" applyBorder="1"/>
    <xf numFmtId="41" fontId="7" fillId="7" borderId="11" xfId="0" applyNumberFormat="1" applyFont="1" applyFill="1" applyBorder="1"/>
    <xf numFmtId="41" fontId="7" fillId="7" borderId="13" xfId="0" applyNumberFormat="1" applyFont="1" applyFill="1" applyBorder="1"/>
    <xf numFmtId="41" fontId="2" fillId="7" borderId="0" xfId="0" applyNumberFormat="1" applyFont="1" applyFill="1" applyProtection="1">
      <protection locked="0"/>
    </xf>
    <xf numFmtId="0" fontId="7" fillId="8" borderId="4" xfId="0" applyFont="1" applyFill="1" applyBorder="1"/>
    <xf numFmtId="0" fontId="7" fillId="8" borderId="15" xfId="0" applyFont="1" applyFill="1" applyBorder="1"/>
    <xf numFmtId="0" fontId="7" fillId="8" borderId="14" xfId="0" applyFont="1" applyFill="1" applyBorder="1" applyAlignment="1">
      <alignment horizontal="right" indent="4"/>
    </xf>
    <xf numFmtId="41" fontId="7" fillId="8" borderId="2" xfId="0" applyNumberFormat="1" applyFont="1" applyFill="1" applyBorder="1"/>
    <xf numFmtId="41" fontId="7" fillId="8" borderId="8" xfId="0" applyNumberFormat="1" applyFont="1" applyFill="1" applyBorder="1"/>
    <xf numFmtId="41" fontId="7" fillId="8" borderId="16" xfId="0" applyNumberFormat="1" applyFont="1" applyFill="1" applyBorder="1"/>
    <xf numFmtId="0" fontId="7" fillId="8" borderId="19" xfId="0" applyFont="1" applyFill="1" applyBorder="1"/>
    <xf numFmtId="0" fontId="8" fillId="8" borderId="4" xfId="0" applyFont="1" applyFill="1" applyBorder="1"/>
    <xf numFmtId="0" fontId="7" fillId="8" borderId="17" xfId="0" applyFont="1" applyFill="1" applyBorder="1"/>
    <xf numFmtId="0" fontId="7" fillId="8" borderId="0" xfId="0" applyFont="1" applyFill="1"/>
    <xf numFmtId="0" fontId="7" fillId="8" borderId="10" xfId="0" applyFont="1" applyFill="1" applyBorder="1"/>
    <xf numFmtId="0" fontId="7" fillId="8" borderId="10" xfId="0" applyFont="1" applyFill="1" applyBorder="1" applyAlignment="1">
      <alignment horizontal="center"/>
    </xf>
    <xf numFmtId="41" fontId="7" fillId="8" borderId="7" xfId="0" applyNumberFormat="1" applyFont="1" applyFill="1" applyBorder="1"/>
    <xf numFmtId="41" fontId="7" fillId="8" borderId="6" xfId="0" applyNumberFormat="1" applyFont="1" applyFill="1" applyBorder="1"/>
    <xf numFmtId="41" fontId="7" fillId="7" borderId="7" xfId="1" applyNumberFormat="1" applyFont="1" applyFill="1" applyBorder="1" applyAlignment="1" applyProtection="1">
      <protection locked="0"/>
    </xf>
    <xf numFmtId="41" fontId="7" fillId="7" borderId="13" xfId="1" applyNumberFormat="1" applyFont="1" applyFill="1" applyBorder="1" applyAlignment="1" applyProtection="1">
      <protection locked="0"/>
    </xf>
    <xf numFmtId="41" fontId="7" fillId="9" borderId="7" xfId="1" applyNumberFormat="1" applyFont="1" applyFill="1" applyBorder="1" applyAlignment="1" applyProtection="1">
      <protection locked="0"/>
    </xf>
    <xf numFmtId="41" fontId="7" fillId="9" borderId="7" xfId="0" applyNumberFormat="1" applyFont="1" applyFill="1" applyBorder="1" applyProtection="1">
      <protection locked="0"/>
    </xf>
    <xf numFmtId="41" fontId="2" fillId="9" borderId="7" xfId="0" applyNumberFormat="1" applyFont="1" applyFill="1" applyBorder="1" applyProtection="1">
      <protection locked="0"/>
    </xf>
    <xf numFmtId="41" fontId="2" fillId="9" borderId="7" xfId="1" applyNumberFormat="1" applyFont="1" applyFill="1" applyBorder="1" applyAlignment="1" applyProtection="1">
      <protection locked="0"/>
    </xf>
    <xf numFmtId="41" fontId="7" fillId="9" borderId="7" xfId="0" applyNumberFormat="1" applyFont="1" applyFill="1" applyBorder="1"/>
    <xf numFmtId="41" fontId="7" fillId="9" borderId="7" xfId="1" applyNumberFormat="1" applyFont="1" applyFill="1" applyBorder="1" applyAlignment="1" applyProtection="1"/>
    <xf numFmtId="0" fontId="15" fillId="4" borderId="0" xfId="0" applyFont="1" applyFill="1"/>
    <xf numFmtId="0" fontId="8" fillId="4" borderId="6" xfId="0" applyFont="1" applyFill="1" applyBorder="1"/>
    <xf numFmtId="0" fontId="7" fillId="4" borderId="6" xfId="0" applyFont="1" applyFill="1" applyBorder="1"/>
    <xf numFmtId="0" fontId="7" fillId="4" borderId="10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41" fontId="7" fillId="4" borderId="5" xfId="1" applyNumberFormat="1" applyFont="1" applyFill="1" applyBorder="1" applyAlignment="1" applyProtection="1">
      <protection locked="0"/>
    </xf>
    <xf numFmtId="41" fontId="7" fillId="4" borderId="7" xfId="1" applyNumberFormat="1" applyFont="1" applyFill="1" applyBorder="1" applyAlignment="1" applyProtection="1">
      <protection locked="0"/>
    </xf>
    <xf numFmtId="0" fontId="8" fillId="4" borderId="11" xfId="0" applyFont="1" applyFill="1" applyBorder="1"/>
    <xf numFmtId="41" fontId="7" fillId="4" borderId="13" xfId="1" applyNumberFormat="1" applyFont="1" applyFill="1" applyBorder="1" applyAlignment="1" applyProtection="1">
      <protection locked="0"/>
    </xf>
    <xf numFmtId="0" fontId="7" fillId="4" borderId="3" xfId="0" applyFont="1" applyFill="1" applyBorder="1"/>
    <xf numFmtId="0" fontId="2" fillId="4" borderId="13" xfId="0" applyFont="1" applyFill="1" applyBorder="1"/>
    <xf numFmtId="0" fontId="2" fillId="4" borderId="7" xfId="0" applyFont="1" applyFill="1" applyBorder="1"/>
    <xf numFmtId="0" fontId="2" fillId="4" borderId="6" xfId="0" applyFont="1" applyFill="1" applyBorder="1"/>
    <xf numFmtId="0" fontId="2" fillId="4" borderId="5" xfId="0" applyFont="1" applyFill="1" applyBorder="1"/>
    <xf numFmtId="0" fontId="7" fillId="4" borderId="11" xfId="0" applyFont="1" applyFill="1" applyBorder="1"/>
    <xf numFmtId="41" fontId="7" fillId="3" borderId="11" xfId="0" applyNumberFormat="1" applyFont="1" applyFill="1" applyBorder="1"/>
    <xf numFmtId="41" fontId="2" fillId="0" borderId="0" xfId="1" applyNumberFormat="1" applyFont="1" applyFill="1" applyBorder="1" applyAlignment="1" applyProtection="1"/>
    <xf numFmtId="41" fontId="2" fillId="0" borderId="0" xfId="1" applyNumberFormat="1" applyFont="1" applyFill="1" applyAlignment="1" applyProtection="1"/>
    <xf numFmtId="8" fontId="2" fillId="7" borderId="7" xfId="0" applyNumberFormat="1" applyFont="1" applyFill="1" applyBorder="1" applyProtection="1">
      <protection locked="0"/>
    </xf>
    <xf numFmtId="8" fontId="7" fillId="7" borderId="7" xfId="0" applyNumberFormat="1" applyFont="1" applyFill="1" applyBorder="1" applyProtection="1">
      <protection locked="0"/>
    </xf>
    <xf numFmtId="8" fontId="7" fillId="7" borderId="6" xfId="0" applyNumberFormat="1" applyFont="1" applyFill="1" applyBorder="1" applyProtection="1">
      <protection locked="0"/>
    </xf>
    <xf numFmtId="8" fontId="2" fillId="7" borderId="6" xfId="0" applyNumberFormat="1" applyFont="1" applyFill="1" applyBorder="1" applyProtection="1">
      <protection locked="0"/>
    </xf>
    <xf numFmtId="0" fontId="7" fillId="4" borderId="27" xfId="0" applyFont="1" applyFill="1" applyBorder="1" applyAlignment="1" applyProtection="1">
      <alignment horizontal="left"/>
      <protection locked="0"/>
    </xf>
    <xf numFmtId="0" fontId="7" fillId="4" borderId="35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1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D3CDB1"/>
      <color rgb="FFEBFDC3"/>
      <color rgb="FFDCE6F1"/>
      <color rgb="FFFFFFCC"/>
      <color rgb="FFFF6D6D"/>
      <color rgb="FFDDE7C7"/>
      <color rgb="FFFFFF66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F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7</xdr:row>
          <xdr:rowOff>161925</xdr:rowOff>
        </xdr:from>
        <xdr:to>
          <xdr:col>3</xdr:col>
          <xdr:colOff>1095375</xdr:colOff>
          <xdr:row>9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8</xdr:row>
          <xdr:rowOff>180975</xdr:rowOff>
        </xdr:from>
        <xdr:to>
          <xdr:col>3</xdr:col>
          <xdr:colOff>1095375</xdr:colOff>
          <xdr:row>10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707"/>
  <sheetViews>
    <sheetView tabSelected="1" zoomScale="80" zoomScaleNormal="80" zoomScaleSheetLayoutView="80" workbookViewId="0">
      <pane xSplit="6" ySplit="13" topLeftCell="G14" activePane="bottomRight" state="frozen"/>
      <selection activeCell="B1" sqref="B1"/>
      <selection pane="topRight" activeCell="F1" sqref="F1"/>
      <selection pane="bottomLeft" activeCell="B7" sqref="B7"/>
      <selection pane="bottomRight" activeCell="G16" sqref="G16"/>
    </sheetView>
  </sheetViews>
  <sheetFormatPr defaultColWidth="0" defaultRowHeight="15" zeroHeight="1" x14ac:dyDescent="0.25"/>
  <cols>
    <col min="1" max="1" width="1" style="1" hidden="1" customWidth="1"/>
    <col min="2" max="2" width="4.7109375" style="1" customWidth="1"/>
    <col min="3" max="3" width="2.5703125" style="1" customWidth="1"/>
    <col min="4" max="4" width="19.42578125" style="1" customWidth="1"/>
    <col min="5" max="5" width="56.42578125" style="1" customWidth="1"/>
    <col min="6" max="6" width="12.28515625" style="1" customWidth="1"/>
    <col min="7" max="7" width="20.42578125" style="1" customWidth="1"/>
    <col min="8" max="11" width="15.5703125" style="1" customWidth="1"/>
    <col min="12" max="12" width="15.140625" style="1" customWidth="1"/>
    <col min="13" max="13" width="17.7109375" style="1" customWidth="1"/>
    <col min="14" max="14" width="19.7109375" style="1" customWidth="1"/>
    <col min="15" max="15" width="13.28515625" style="1" customWidth="1"/>
    <col min="16" max="16" width="11.5703125" style="1" customWidth="1"/>
    <col min="17" max="19" width="0" style="1" hidden="1" customWidth="1"/>
    <col min="20" max="16384" width="9.140625" style="1" hidden="1"/>
  </cols>
  <sheetData>
    <row r="1" spans="1:16" s="26" customFormat="1" ht="15" customHeight="1" x14ac:dyDescent="0.25">
      <c r="A1" s="178"/>
      <c r="B1" s="150"/>
      <c r="C1" s="151"/>
      <c r="D1" s="152"/>
      <c r="E1" s="243"/>
      <c r="F1" s="243"/>
      <c r="G1" s="153"/>
      <c r="H1" s="154" t="s">
        <v>203</v>
      </c>
      <c r="I1" s="151"/>
      <c r="J1" s="151"/>
      <c r="K1" s="151"/>
      <c r="L1" s="155"/>
      <c r="M1" s="156"/>
      <c r="N1" s="157"/>
    </row>
    <row r="2" spans="1:16" ht="15" customHeight="1" x14ac:dyDescent="0.25">
      <c r="A2" s="29"/>
      <c r="B2" s="158"/>
      <c r="C2" s="34"/>
      <c r="D2" s="35" t="s">
        <v>153</v>
      </c>
      <c r="E2" s="185" t="s">
        <v>235</v>
      </c>
      <c r="F2" s="128"/>
      <c r="G2" s="89"/>
      <c r="H2" s="99" t="s">
        <v>227</v>
      </c>
      <c r="I2" s="34"/>
      <c r="J2" s="34"/>
      <c r="K2" s="34"/>
      <c r="L2" s="36"/>
      <c r="M2" s="37" t="s">
        <v>114</v>
      </c>
      <c r="N2" s="38"/>
    </row>
    <row r="3" spans="1:16" ht="15" customHeight="1" x14ac:dyDescent="0.25">
      <c r="A3" s="29"/>
      <c r="B3" s="33"/>
      <c r="C3" s="34"/>
      <c r="D3" s="35" t="s">
        <v>211</v>
      </c>
      <c r="E3" s="185" t="s">
        <v>236</v>
      </c>
      <c r="F3" s="128"/>
      <c r="G3" s="89"/>
      <c r="H3" s="100" t="s">
        <v>228</v>
      </c>
      <c r="I3" s="34"/>
      <c r="J3" s="34"/>
      <c r="K3" s="34"/>
      <c r="L3" s="36"/>
      <c r="M3" s="37" t="s">
        <v>115</v>
      </c>
      <c r="N3" s="38"/>
    </row>
    <row r="4" spans="1:16" ht="15" customHeight="1" x14ac:dyDescent="0.25">
      <c r="A4" s="29"/>
      <c r="B4" s="33"/>
      <c r="C4" s="34"/>
      <c r="D4" s="35" t="s">
        <v>212</v>
      </c>
      <c r="E4" s="186" t="s">
        <v>226</v>
      </c>
      <c r="F4" s="92"/>
      <c r="G4" s="91"/>
      <c r="H4" s="99" t="s">
        <v>108</v>
      </c>
      <c r="I4" s="34"/>
      <c r="J4" s="34"/>
      <c r="K4" s="34"/>
      <c r="L4" s="36" t="s">
        <v>136</v>
      </c>
      <c r="M4" s="37" t="s">
        <v>148</v>
      </c>
      <c r="N4" s="38"/>
    </row>
    <row r="5" spans="1:16" ht="15" customHeight="1" x14ac:dyDescent="0.25">
      <c r="A5" s="29"/>
      <c r="B5" s="33"/>
      <c r="C5" s="34"/>
      <c r="D5" s="35" t="s">
        <v>213</v>
      </c>
      <c r="E5" s="186" t="s">
        <v>215</v>
      </c>
      <c r="F5" s="92"/>
      <c r="G5" s="89"/>
      <c r="H5" s="34"/>
      <c r="I5" s="34"/>
      <c r="J5" s="34"/>
      <c r="K5" s="34"/>
      <c r="L5" s="36" t="s">
        <v>136</v>
      </c>
      <c r="M5" s="37" t="s">
        <v>147</v>
      </c>
      <c r="N5" s="38"/>
    </row>
    <row r="6" spans="1:16" ht="14.45" customHeight="1" x14ac:dyDescent="0.25">
      <c r="A6" s="29"/>
      <c r="B6" s="33"/>
      <c r="C6" s="34"/>
      <c r="D6" s="35" t="s">
        <v>214</v>
      </c>
      <c r="E6" s="187">
        <v>1301</v>
      </c>
      <c r="F6" s="148"/>
      <c r="G6" s="34"/>
      <c r="H6" s="34"/>
      <c r="I6" s="34"/>
      <c r="J6" s="34" t="s">
        <v>54</v>
      </c>
      <c r="K6" s="34"/>
      <c r="L6" s="36"/>
      <c r="M6" s="37"/>
      <c r="N6" s="38"/>
    </row>
    <row r="7" spans="1:16" ht="14.45" customHeight="1" x14ac:dyDescent="0.25">
      <c r="A7" s="29"/>
      <c r="B7" s="33"/>
      <c r="C7" s="34"/>
      <c r="D7" s="34"/>
      <c r="E7" s="34"/>
      <c r="F7" s="34"/>
      <c r="G7" s="34"/>
      <c r="H7" s="90"/>
      <c r="I7" s="34"/>
      <c r="J7" s="34"/>
      <c r="K7" s="34"/>
      <c r="L7" s="36"/>
      <c r="M7" s="37"/>
      <c r="N7" s="38"/>
    </row>
    <row r="8" spans="1:16" ht="14.45" customHeight="1" x14ac:dyDescent="0.25">
      <c r="A8" s="29"/>
      <c r="B8" s="33"/>
      <c r="C8" s="34"/>
      <c r="D8" s="89" t="s">
        <v>149</v>
      </c>
      <c r="E8" s="93"/>
      <c r="F8" s="34"/>
      <c r="G8" s="34"/>
      <c r="H8" s="34"/>
      <c r="I8" s="34"/>
      <c r="J8" s="34"/>
      <c r="K8" s="34"/>
      <c r="L8" s="36"/>
      <c r="M8" s="37"/>
      <c r="N8" s="38"/>
    </row>
    <row r="9" spans="1:16" ht="14.45" customHeight="1" x14ac:dyDescent="0.25">
      <c r="A9" s="29"/>
      <c r="B9" s="33"/>
      <c r="C9" s="34"/>
      <c r="D9" s="35"/>
      <c r="E9" s="94" t="s">
        <v>150</v>
      </c>
      <c r="F9" s="34"/>
      <c r="G9" s="34"/>
      <c r="H9" s="34"/>
      <c r="I9" s="34"/>
      <c r="J9" s="34"/>
      <c r="K9" s="34"/>
      <c r="L9" s="36"/>
      <c r="M9" s="37"/>
      <c r="N9" s="38"/>
    </row>
    <row r="10" spans="1:16" ht="14.45" customHeight="1" x14ac:dyDescent="0.25">
      <c r="A10" s="29"/>
      <c r="B10" s="33"/>
      <c r="C10" s="34"/>
      <c r="D10" s="35"/>
      <c r="E10" s="94" t="s">
        <v>151</v>
      </c>
      <c r="F10" s="95" t="b">
        <v>0</v>
      </c>
      <c r="G10" s="34"/>
      <c r="H10" s="34"/>
      <c r="I10" s="34"/>
      <c r="J10" s="34"/>
      <c r="K10" s="34"/>
      <c r="L10" s="36"/>
      <c r="M10" s="37"/>
      <c r="N10" s="38"/>
    </row>
    <row r="11" spans="1:16" x14ac:dyDescent="0.25">
      <c r="A11" s="29"/>
      <c r="B11" s="33"/>
      <c r="C11" s="34"/>
      <c r="D11" s="35" t="s">
        <v>152</v>
      </c>
      <c r="E11" s="96"/>
      <c r="F11" s="34"/>
      <c r="G11" s="34"/>
      <c r="H11" s="34"/>
      <c r="I11" s="34"/>
      <c r="J11" s="34"/>
      <c r="K11" s="97" t="s">
        <v>154</v>
      </c>
      <c r="L11" s="98" t="s">
        <v>155</v>
      </c>
      <c r="M11" s="138" t="s">
        <v>156</v>
      </c>
      <c r="N11" s="159" t="s">
        <v>181</v>
      </c>
    </row>
    <row r="12" spans="1:16" s="25" customFormat="1" ht="13.5" customHeight="1" thickBot="1" x14ac:dyDescent="0.3">
      <c r="A12" s="31"/>
      <c r="B12" s="172"/>
      <c r="C12" s="149"/>
      <c r="D12" s="149"/>
      <c r="E12" s="149"/>
      <c r="F12" s="149"/>
      <c r="G12" s="173" t="s">
        <v>161</v>
      </c>
      <c r="H12" s="173" t="s">
        <v>162</v>
      </c>
      <c r="I12" s="173" t="s">
        <v>163</v>
      </c>
      <c r="J12" s="173" t="s">
        <v>164</v>
      </c>
      <c r="K12" s="173" t="s">
        <v>157</v>
      </c>
      <c r="L12" s="174" t="s">
        <v>158</v>
      </c>
      <c r="M12" s="175" t="s">
        <v>159</v>
      </c>
      <c r="N12" s="176" t="s">
        <v>160</v>
      </c>
    </row>
    <row r="13" spans="1:16" s="2" customFormat="1" ht="57.75" thickBot="1" x14ac:dyDescent="0.3">
      <c r="A13" s="179"/>
      <c r="B13" s="244" t="s">
        <v>107</v>
      </c>
      <c r="C13" s="245"/>
      <c r="D13" s="245"/>
      <c r="E13" s="180"/>
      <c r="F13" s="181" t="s">
        <v>0</v>
      </c>
      <c r="G13" s="182" t="s">
        <v>116</v>
      </c>
      <c r="H13" s="183" t="s">
        <v>229</v>
      </c>
      <c r="I13" s="182" t="s">
        <v>117</v>
      </c>
      <c r="J13" s="183" t="s">
        <v>230</v>
      </c>
      <c r="K13" s="183" t="s">
        <v>118</v>
      </c>
      <c r="L13" s="183" t="s">
        <v>231</v>
      </c>
      <c r="M13" s="183" t="s">
        <v>132</v>
      </c>
      <c r="N13" s="184" t="s">
        <v>179</v>
      </c>
      <c r="O13" s="2" t="s">
        <v>1</v>
      </c>
    </row>
    <row r="14" spans="1:16" x14ac:dyDescent="0.25">
      <c r="A14" s="29"/>
      <c r="B14" s="33" t="s">
        <v>78</v>
      </c>
      <c r="C14" s="34"/>
      <c r="D14" s="34"/>
      <c r="E14" s="46"/>
      <c r="F14" s="46"/>
      <c r="G14" s="54"/>
      <c r="H14" s="51"/>
      <c r="I14" s="54"/>
      <c r="J14" s="52"/>
      <c r="K14" s="177"/>
      <c r="L14" s="51"/>
      <c r="M14" s="51"/>
      <c r="N14" s="160"/>
      <c r="O14" s="4"/>
      <c r="P14" s="4"/>
    </row>
    <row r="15" spans="1:16" x14ac:dyDescent="0.25">
      <c r="A15" s="29"/>
      <c r="B15" s="33"/>
      <c r="C15" s="34" t="s">
        <v>112</v>
      </c>
      <c r="D15" s="34"/>
      <c r="E15" s="46"/>
      <c r="F15" s="46"/>
      <c r="G15" s="54"/>
      <c r="H15" s="51"/>
      <c r="I15" s="54"/>
      <c r="J15" s="52"/>
      <c r="K15" s="51"/>
      <c r="L15" s="51"/>
      <c r="M15" s="51"/>
      <c r="N15" s="160"/>
      <c r="O15" s="4"/>
      <c r="P15" s="4"/>
    </row>
    <row r="16" spans="1:16" x14ac:dyDescent="0.25">
      <c r="A16" s="29"/>
      <c r="B16" s="33"/>
      <c r="C16" s="34"/>
      <c r="D16" s="34" t="s">
        <v>192</v>
      </c>
      <c r="E16" s="46"/>
      <c r="F16" s="53">
        <v>8011</v>
      </c>
      <c r="G16" s="213">
        <v>1921699</v>
      </c>
      <c r="H16" s="188">
        <v>578324</v>
      </c>
      <c r="I16" s="105"/>
      <c r="J16" s="105"/>
      <c r="K16" s="54">
        <f>G16+I16</f>
        <v>1921699</v>
      </c>
      <c r="L16" s="54">
        <f t="shared" ref="K16:L20" si="0">H16+J16</f>
        <v>578324</v>
      </c>
      <c r="M16" s="81">
        <f t="shared" ref="M16:M20" si="1">IF(K16&gt;L16,K16,L16)</f>
        <v>1921699</v>
      </c>
      <c r="N16" s="161">
        <f>+M16-K16</f>
        <v>0</v>
      </c>
      <c r="O16" s="5"/>
      <c r="P16" s="5"/>
    </row>
    <row r="17" spans="1:16" x14ac:dyDescent="0.25">
      <c r="A17" s="29"/>
      <c r="B17" s="33"/>
      <c r="C17" s="34"/>
      <c r="D17" s="34" t="s">
        <v>193</v>
      </c>
      <c r="E17" s="46"/>
      <c r="F17" s="53">
        <v>8012</v>
      </c>
      <c r="G17" s="213">
        <v>80600</v>
      </c>
      <c r="H17" s="188">
        <v>22028</v>
      </c>
      <c r="I17" s="105"/>
      <c r="J17" s="105"/>
      <c r="K17" s="54">
        <f t="shared" si="0"/>
        <v>80600</v>
      </c>
      <c r="L17" s="54">
        <f>H17+J17</f>
        <v>22028</v>
      </c>
      <c r="M17" s="54">
        <f>IF(K17&gt;L17,K17,L17)</f>
        <v>80600</v>
      </c>
      <c r="N17" s="162">
        <f>+M17-K17</f>
        <v>0</v>
      </c>
      <c r="O17" s="3"/>
      <c r="P17" s="3"/>
    </row>
    <row r="18" spans="1:16" x14ac:dyDescent="0.25">
      <c r="A18" s="29"/>
      <c r="B18" s="33"/>
      <c r="C18" s="34"/>
      <c r="D18" s="34" t="s">
        <v>194</v>
      </c>
      <c r="E18" s="46"/>
      <c r="F18" s="53">
        <v>8019</v>
      </c>
      <c r="G18" s="213"/>
      <c r="H18" s="188"/>
      <c r="I18" s="105"/>
      <c r="J18" s="105"/>
      <c r="K18" s="54">
        <f t="shared" si="0"/>
        <v>0</v>
      </c>
      <c r="L18" s="54">
        <f t="shared" si="0"/>
        <v>0</v>
      </c>
      <c r="M18" s="54">
        <f>IF(K18&gt;L18,K18,L18)</f>
        <v>0</v>
      </c>
      <c r="N18" s="162">
        <f>+M18-K18</f>
        <v>0</v>
      </c>
      <c r="O18" s="3"/>
      <c r="P18" s="3"/>
    </row>
    <row r="19" spans="1:16" x14ac:dyDescent="0.25">
      <c r="A19" s="29"/>
      <c r="B19" s="33"/>
      <c r="C19" s="34"/>
      <c r="D19" s="34" t="s">
        <v>141</v>
      </c>
      <c r="E19" s="46"/>
      <c r="F19" s="53">
        <v>8096</v>
      </c>
      <c r="G19" s="213">
        <v>2934859.59</v>
      </c>
      <c r="H19" s="188">
        <v>844412</v>
      </c>
      <c r="I19" s="105"/>
      <c r="J19" s="105"/>
      <c r="K19" s="54">
        <f t="shared" si="0"/>
        <v>2934859.59</v>
      </c>
      <c r="L19" s="54">
        <f t="shared" si="0"/>
        <v>844412</v>
      </c>
      <c r="M19" s="54">
        <f t="shared" si="1"/>
        <v>2934859.59</v>
      </c>
      <c r="N19" s="162">
        <f t="shared" ref="N19:N51" si="2">+M19-K19</f>
        <v>0</v>
      </c>
      <c r="O19" s="3"/>
      <c r="P19" s="3"/>
    </row>
    <row r="20" spans="1:16" x14ac:dyDescent="0.25">
      <c r="A20" s="29"/>
      <c r="B20" s="33"/>
      <c r="C20" s="34"/>
      <c r="D20" s="34" t="s">
        <v>110</v>
      </c>
      <c r="E20" s="46"/>
      <c r="F20" s="53" t="s">
        <v>111</v>
      </c>
      <c r="G20" s="213"/>
      <c r="H20" s="188"/>
      <c r="I20" s="213"/>
      <c r="J20" s="189"/>
      <c r="K20" s="54">
        <f t="shared" si="0"/>
        <v>0</v>
      </c>
      <c r="L20" s="54">
        <f t="shared" si="0"/>
        <v>0</v>
      </c>
      <c r="M20" s="54">
        <f t="shared" si="1"/>
        <v>0</v>
      </c>
      <c r="N20" s="162">
        <f t="shared" si="2"/>
        <v>0</v>
      </c>
      <c r="O20" s="3"/>
      <c r="P20" s="3"/>
    </row>
    <row r="21" spans="1:16" x14ac:dyDescent="0.25">
      <c r="A21" s="29"/>
      <c r="B21" s="163"/>
      <c r="C21" s="45" t="s">
        <v>142</v>
      </c>
      <c r="D21" s="45"/>
      <c r="E21" s="56"/>
      <c r="F21" s="57"/>
      <c r="G21" s="58">
        <f t="shared" ref="G21:L21" si="3">SUM(G16:G20)</f>
        <v>4937158.59</v>
      </c>
      <c r="H21" s="67">
        <f t="shared" si="3"/>
        <v>1444764</v>
      </c>
      <c r="I21" s="59">
        <f t="shared" si="3"/>
        <v>0</v>
      </c>
      <c r="J21" s="60">
        <f t="shared" si="3"/>
        <v>0</v>
      </c>
      <c r="K21" s="58">
        <f t="shared" si="3"/>
        <v>4937158.59</v>
      </c>
      <c r="L21" s="59">
        <f t="shared" si="3"/>
        <v>1444764</v>
      </c>
      <c r="M21" s="59">
        <f>SUM(M16:M20)</f>
        <v>4937158.59</v>
      </c>
      <c r="N21" s="164">
        <f>+M21-K21</f>
        <v>0</v>
      </c>
      <c r="O21" s="3">
        <f>+G21+I21-K21</f>
        <v>0</v>
      </c>
      <c r="P21" s="5">
        <f>+H21+J21-L21</f>
        <v>0</v>
      </c>
    </row>
    <row r="22" spans="1:16" x14ac:dyDescent="0.25">
      <c r="A22" s="29"/>
      <c r="B22" s="33"/>
      <c r="C22" s="34" t="s">
        <v>188</v>
      </c>
      <c r="D22" s="34"/>
      <c r="E22" s="34"/>
      <c r="F22" s="63"/>
      <c r="G22" s="54"/>
      <c r="H22" s="64"/>
      <c r="I22" s="67"/>
      <c r="J22" s="106"/>
      <c r="K22" s="67"/>
      <c r="L22" s="67"/>
      <c r="M22" s="54"/>
      <c r="N22" s="162"/>
      <c r="O22" s="3"/>
      <c r="P22" s="5"/>
    </row>
    <row r="23" spans="1:16" x14ac:dyDescent="0.25">
      <c r="A23" s="29"/>
      <c r="B23" s="33"/>
      <c r="C23" s="34"/>
      <c r="D23" s="34" t="s">
        <v>143</v>
      </c>
      <c r="E23" s="34"/>
      <c r="F23" s="63">
        <v>8290</v>
      </c>
      <c r="G23" s="107"/>
      <c r="H23" s="107"/>
      <c r="I23" s="214">
        <v>199257</v>
      </c>
      <c r="J23" s="188"/>
      <c r="K23" s="54">
        <f>G23+I23</f>
        <v>199257</v>
      </c>
      <c r="L23" s="54">
        <f>H23+J23</f>
        <v>0</v>
      </c>
      <c r="M23" s="54">
        <f>IF(K23&gt;L23,K23,L23)</f>
        <v>199257</v>
      </c>
      <c r="N23" s="162">
        <f t="shared" si="2"/>
        <v>0</v>
      </c>
      <c r="O23" s="3"/>
      <c r="P23" s="5"/>
    </row>
    <row r="24" spans="1:16" x14ac:dyDescent="0.25">
      <c r="A24" s="29"/>
      <c r="B24" s="33"/>
      <c r="C24" s="34"/>
      <c r="D24" s="34" t="s">
        <v>144</v>
      </c>
      <c r="E24" s="34"/>
      <c r="F24" s="63">
        <v>8290</v>
      </c>
      <c r="G24" s="107"/>
      <c r="H24" s="107"/>
      <c r="I24" s="214">
        <v>22775</v>
      </c>
      <c r="J24" s="188"/>
      <c r="K24" s="54">
        <f t="shared" ref="K24:K33" si="4">G24+I24</f>
        <v>22775</v>
      </c>
      <c r="L24" s="54">
        <f t="shared" ref="L24:L33" si="5">H24+J24</f>
        <v>0</v>
      </c>
      <c r="M24" s="54">
        <f>IF(K24&gt;L24,K24,L24)</f>
        <v>22775</v>
      </c>
      <c r="N24" s="162">
        <f t="shared" si="2"/>
        <v>0</v>
      </c>
      <c r="O24" s="3"/>
      <c r="P24" s="5"/>
    </row>
    <row r="25" spans="1:16" x14ac:dyDescent="0.25">
      <c r="A25" s="29"/>
      <c r="B25" s="33"/>
      <c r="C25" s="34"/>
      <c r="D25" s="34" t="s">
        <v>145</v>
      </c>
      <c r="E25" s="34"/>
      <c r="F25" s="63">
        <v>8290</v>
      </c>
      <c r="G25" s="107"/>
      <c r="H25" s="107"/>
      <c r="I25" s="214">
        <v>25506</v>
      </c>
      <c r="J25" s="188"/>
      <c r="K25" s="54">
        <f t="shared" si="4"/>
        <v>25506</v>
      </c>
      <c r="L25" s="54">
        <f t="shared" si="5"/>
        <v>0</v>
      </c>
      <c r="M25" s="54">
        <f t="shared" ref="M25:M33" si="6">IF(K25&gt;L25,K25,L25)</f>
        <v>25506</v>
      </c>
      <c r="N25" s="162">
        <f t="shared" si="2"/>
        <v>0</v>
      </c>
      <c r="O25" s="3"/>
      <c r="P25" s="5"/>
    </row>
    <row r="26" spans="1:16" x14ac:dyDescent="0.25">
      <c r="A26" s="29"/>
      <c r="B26" s="33"/>
      <c r="C26" s="34"/>
      <c r="D26" s="34" t="s">
        <v>146</v>
      </c>
      <c r="E26" s="34"/>
      <c r="F26" s="63">
        <v>8290</v>
      </c>
      <c r="G26" s="107"/>
      <c r="H26" s="107"/>
      <c r="I26" s="214"/>
      <c r="J26" s="188"/>
      <c r="K26" s="54">
        <f t="shared" si="4"/>
        <v>0</v>
      </c>
      <c r="L26" s="54">
        <f t="shared" si="5"/>
        <v>0</v>
      </c>
      <c r="M26" s="54">
        <f t="shared" si="6"/>
        <v>0</v>
      </c>
      <c r="N26" s="162">
        <f t="shared" si="2"/>
        <v>0</v>
      </c>
      <c r="O26" s="3"/>
      <c r="P26" s="5"/>
    </row>
    <row r="27" spans="1:16" x14ac:dyDescent="0.25">
      <c r="A27" s="29"/>
      <c r="B27" s="33"/>
      <c r="C27" s="34"/>
      <c r="D27" s="34" t="s">
        <v>189</v>
      </c>
      <c r="E27" s="34"/>
      <c r="F27" s="63">
        <v>8290</v>
      </c>
      <c r="G27" s="107"/>
      <c r="H27" s="107"/>
      <c r="I27" s="214"/>
      <c r="J27" s="188"/>
      <c r="K27" s="54">
        <f t="shared" si="4"/>
        <v>0</v>
      </c>
      <c r="L27" s="54">
        <f t="shared" si="5"/>
        <v>0</v>
      </c>
      <c r="M27" s="54">
        <f t="shared" si="6"/>
        <v>0</v>
      </c>
      <c r="N27" s="162">
        <f t="shared" si="2"/>
        <v>0</v>
      </c>
      <c r="O27" s="3"/>
      <c r="P27" s="5"/>
    </row>
    <row r="28" spans="1:16" x14ac:dyDescent="0.25">
      <c r="A28" s="29"/>
      <c r="B28" s="33"/>
      <c r="C28" s="34"/>
      <c r="D28" s="34" t="s">
        <v>190</v>
      </c>
      <c r="E28" s="34"/>
      <c r="F28" s="63">
        <v>8290</v>
      </c>
      <c r="G28" s="107"/>
      <c r="H28" s="107"/>
      <c r="I28" s="214">
        <v>6979</v>
      </c>
      <c r="J28" s="188"/>
      <c r="K28" s="54">
        <f t="shared" si="4"/>
        <v>6979</v>
      </c>
      <c r="L28" s="54">
        <f t="shared" si="5"/>
        <v>0</v>
      </c>
      <c r="M28" s="54">
        <f t="shared" si="6"/>
        <v>6979</v>
      </c>
      <c r="N28" s="162">
        <f t="shared" si="2"/>
        <v>0</v>
      </c>
      <c r="O28" s="3"/>
      <c r="P28" s="5"/>
    </row>
    <row r="29" spans="1:16" x14ac:dyDescent="0.25">
      <c r="A29" s="29"/>
      <c r="B29" s="33"/>
      <c r="C29" s="34"/>
      <c r="D29" s="34" t="s">
        <v>166</v>
      </c>
      <c r="E29" s="34"/>
      <c r="F29" s="63">
        <v>8290</v>
      </c>
      <c r="G29" s="107"/>
      <c r="H29" s="107"/>
      <c r="I29" s="214"/>
      <c r="J29" s="188"/>
      <c r="K29" s="54">
        <f t="shared" si="4"/>
        <v>0</v>
      </c>
      <c r="L29" s="54">
        <f t="shared" si="5"/>
        <v>0</v>
      </c>
      <c r="M29" s="54">
        <f t="shared" si="6"/>
        <v>0</v>
      </c>
      <c r="N29" s="162">
        <f t="shared" si="2"/>
        <v>0</v>
      </c>
      <c r="O29" s="3"/>
      <c r="P29" s="5"/>
    </row>
    <row r="30" spans="1:16" x14ac:dyDescent="0.25">
      <c r="A30" s="29"/>
      <c r="B30" s="33"/>
      <c r="C30" s="34"/>
      <c r="D30" s="34" t="s">
        <v>180</v>
      </c>
      <c r="E30" s="34"/>
      <c r="F30" s="63">
        <v>8181</v>
      </c>
      <c r="G30" s="107"/>
      <c r="H30" s="107"/>
      <c r="I30" s="214">
        <v>60000</v>
      </c>
      <c r="J30" s="188"/>
      <c r="K30" s="54">
        <f t="shared" si="4"/>
        <v>60000</v>
      </c>
      <c r="L30" s="54">
        <f t="shared" si="5"/>
        <v>0</v>
      </c>
      <c r="M30" s="54">
        <f t="shared" si="6"/>
        <v>60000</v>
      </c>
      <c r="N30" s="162">
        <f t="shared" si="2"/>
        <v>0</v>
      </c>
      <c r="O30" s="3"/>
      <c r="P30" s="5"/>
    </row>
    <row r="31" spans="1:16" x14ac:dyDescent="0.25">
      <c r="A31" s="29"/>
      <c r="B31" s="33"/>
      <c r="C31" s="34"/>
      <c r="D31" s="34" t="s">
        <v>135</v>
      </c>
      <c r="E31" s="34"/>
      <c r="F31" s="63">
        <v>8182</v>
      </c>
      <c r="G31" s="107"/>
      <c r="H31" s="107"/>
      <c r="I31" s="214"/>
      <c r="J31" s="188"/>
      <c r="K31" s="54">
        <f>G31+I31</f>
        <v>0</v>
      </c>
      <c r="L31" s="54">
        <f>H31+J31</f>
        <v>0</v>
      </c>
      <c r="M31" s="54">
        <f t="shared" si="6"/>
        <v>0</v>
      </c>
      <c r="N31" s="162">
        <f t="shared" si="2"/>
        <v>0</v>
      </c>
      <c r="O31" s="3"/>
      <c r="P31" s="5"/>
    </row>
    <row r="32" spans="1:16" x14ac:dyDescent="0.25">
      <c r="A32" s="29"/>
      <c r="B32" s="33"/>
      <c r="C32" s="34"/>
      <c r="D32" s="34" t="s">
        <v>131</v>
      </c>
      <c r="E32" s="34"/>
      <c r="F32" s="63">
        <v>8220</v>
      </c>
      <c r="G32" s="107"/>
      <c r="H32" s="107"/>
      <c r="I32" s="214"/>
      <c r="J32" s="188"/>
      <c r="K32" s="54">
        <f>G32+I32</f>
        <v>0</v>
      </c>
      <c r="L32" s="54">
        <f>H32+J32</f>
        <v>0</v>
      </c>
      <c r="M32" s="54">
        <f t="shared" si="6"/>
        <v>0</v>
      </c>
      <c r="N32" s="162">
        <f t="shared" si="2"/>
        <v>0</v>
      </c>
      <c r="O32" s="3"/>
      <c r="P32" s="5"/>
    </row>
    <row r="33" spans="1:16" x14ac:dyDescent="0.25">
      <c r="A33" s="29"/>
      <c r="B33" s="33"/>
      <c r="C33" s="34"/>
      <c r="D33" s="34" t="s">
        <v>182</v>
      </c>
      <c r="E33" s="34"/>
      <c r="F33" s="63">
        <v>8110</v>
      </c>
      <c r="G33" s="214"/>
      <c r="H33" s="188"/>
      <c r="I33" s="107"/>
      <c r="J33" s="107"/>
      <c r="K33" s="54">
        <f t="shared" si="4"/>
        <v>0</v>
      </c>
      <c r="L33" s="54">
        <f t="shared" si="5"/>
        <v>0</v>
      </c>
      <c r="M33" s="54">
        <f t="shared" si="6"/>
        <v>0</v>
      </c>
      <c r="N33" s="162">
        <f t="shared" si="2"/>
        <v>0</v>
      </c>
      <c r="O33" s="3"/>
      <c r="P33" s="5"/>
    </row>
    <row r="34" spans="1:16" x14ac:dyDescent="0.25">
      <c r="A34" s="29"/>
      <c r="B34" s="33"/>
      <c r="C34" s="34"/>
      <c r="D34" s="34" t="s">
        <v>195</v>
      </c>
      <c r="E34" s="34"/>
      <c r="F34" s="63" t="s">
        <v>80</v>
      </c>
      <c r="G34" s="214"/>
      <c r="H34" s="188"/>
      <c r="I34" s="214">
        <f>860074</f>
        <v>860074</v>
      </c>
      <c r="J34" s="214">
        <v>38200</v>
      </c>
      <c r="K34" s="54">
        <f>G34+I34</f>
        <v>860074</v>
      </c>
      <c r="L34" s="54">
        <f t="shared" ref="L34" si="7">H34+J34</f>
        <v>38200</v>
      </c>
      <c r="M34" s="54">
        <f t="shared" ref="M34" si="8">IF(K34&gt;L34,K34,L34)</f>
        <v>860074</v>
      </c>
      <c r="N34" s="162">
        <f t="shared" si="2"/>
        <v>0</v>
      </c>
      <c r="O34" s="3"/>
      <c r="P34" s="5"/>
    </row>
    <row r="35" spans="1:16" x14ac:dyDescent="0.25">
      <c r="A35" s="29"/>
      <c r="B35" s="33"/>
      <c r="C35" s="34" t="s">
        <v>81</v>
      </c>
      <c r="D35" s="34"/>
      <c r="E35" s="34"/>
      <c r="F35" s="66"/>
      <c r="G35" s="58">
        <f>SUM(G33:G34)</f>
        <v>0</v>
      </c>
      <c r="H35" s="58">
        <f>SUM(H33:H34)</f>
        <v>0</v>
      </c>
      <c r="I35" s="59">
        <f>SUM(I23:I34)</f>
        <v>1174591</v>
      </c>
      <c r="J35" s="59">
        <f>SUM(J23:J34)</f>
        <v>38200</v>
      </c>
      <c r="K35" s="59">
        <f>SUM(K23:K34)</f>
        <v>1174591</v>
      </c>
      <c r="L35" s="59">
        <f t="shared" ref="L35:M35" si="9">SUM(L23:L34)</f>
        <v>38200</v>
      </c>
      <c r="M35" s="59">
        <f t="shared" si="9"/>
        <v>1174591</v>
      </c>
      <c r="N35" s="164">
        <f t="shared" si="2"/>
        <v>0</v>
      </c>
      <c r="O35" s="3"/>
      <c r="P35" s="5"/>
    </row>
    <row r="36" spans="1:16" x14ac:dyDescent="0.25">
      <c r="A36" s="29"/>
      <c r="B36" s="61"/>
      <c r="C36" s="62" t="s">
        <v>187</v>
      </c>
      <c r="D36" s="62"/>
      <c r="E36" s="47"/>
      <c r="F36" s="46"/>
      <c r="G36" s="64"/>
      <c r="H36" s="64"/>
      <c r="I36" s="64"/>
      <c r="J36" s="75"/>
      <c r="K36" s="54"/>
      <c r="L36" s="64"/>
      <c r="M36" s="54"/>
      <c r="N36" s="162">
        <f t="shared" si="2"/>
        <v>0</v>
      </c>
      <c r="O36" s="3"/>
      <c r="P36" s="3"/>
    </row>
    <row r="37" spans="1:16" x14ac:dyDescent="0.25">
      <c r="A37" s="29"/>
      <c r="B37" s="33"/>
      <c r="C37" s="34"/>
      <c r="D37" s="34" t="s">
        <v>130</v>
      </c>
      <c r="E37" s="46"/>
      <c r="F37" s="53">
        <v>8792</v>
      </c>
      <c r="G37" s="105"/>
      <c r="H37" s="105"/>
      <c r="I37" s="214">
        <v>331160.2</v>
      </c>
      <c r="J37" s="189">
        <v>97347</v>
      </c>
      <c r="K37" s="54">
        <f t="shared" ref="K37:K47" si="10">G37+I37</f>
        <v>331160.2</v>
      </c>
      <c r="L37" s="54">
        <f t="shared" ref="L37:L47" si="11">H37+J37</f>
        <v>97347</v>
      </c>
      <c r="M37" s="54">
        <f>IF(K37&gt;L37,K37,L37)</f>
        <v>331160.2</v>
      </c>
      <c r="N37" s="162">
        <f t="shared" si="2"/>
        <v>0</v>
      </c>
      <c r="O37" s="3"/>
      <c r="P37" s="3"/>
    </row>
    <row r="38" spans="1:16" x14ac:dyDescent="0.25">
      <c r="A38" s="29"/>
      <c r="B38" s="33"/>
      <c r="C38" s="34"/>
      <c r="D38" s="34" t="s">
        <v>139</v>
      </c>
      <c r="E38" s="46"/>
      <c r="F38" s="53">
        <v>8590</v>
      </c>
      <c r="G38" s="105"/>
      <c r="H38" s="105"/>
      <c r="I38" s="214">
        <v>112800</v>
      </c>
      <c r="J38" s="189">
        <v>6168</v>
      </c>
      <c r="K38" s="54">
        <f t="shared" si="10"/>
        <v>112800</v>
      </c>
      <c r="L38" s="54">
        <f t="shared" si="11"/>
        <v>6168</v>
      </c>
      <c r="M38" s="54">
        <f t="shared" ref="M38:M47" si="12">IF(K38&gt;L38,K38,L38)</f>
        <v>112800</v>
      </c>
      <c r="N38" s="162">
        <f t="shared" si="2"/>
        <v>0</v>
      </c>
      <c r="O38" s="3"/>
      <c r="P38" s="3"/>
    </row>
    <row r="39" spans="1:16" x14ac:dyDescent="0.25">
      <c r="A39" s="29"/>
      <c r="B39" s="33"/>
      <c r="C39" s="34"/>
      <c r="D39" s="34" t="s">
        <v>122</v>
      </c>
      <c r="E39" s="46"/>
      <c r="F39" s="53">
        <v>8550</v>
      </c>
      <c r="G39" s="215">
        <v>11238.77</v>
      </c>
      <c r="H39" s="190"/>
      <c r="I39" s="105"/>
      <c r="J39" s="105"/>
      <c r="K39" s="54">
        <f t="shared" si="10"/>
        <v>11238.77</v>
      </c>
      <c r="L39" s="54">
        <f t="shared" si="11"/>
        <v>0</v>
      </c>
      <c r="M39" s="54">
        <f t="shared" si="12"/>
        <v>11238.77</v>
      </c>
      <c r="N39" s="162">
        <f>+M39-K39</f>
        <v>0</v>
      </c>
      <c r="O39" s="3"/>
      <c r="P39" s="3"/>
    </row>
    <row r="40" spans="1:16" x14ac:dyDescent="0.25">
      <c r="A40" s="29"/>
      <c r="B40" s="33"/>
      <c r="C40" s="34"/>
      <c r="D40" s="34" t="s">
        <v>121</v>
      </c>
      <c r="E40" s="46"/>
      <c r="F40" s="53" t="s">
        <v>113</v>
      </c>
      <c r="G40" s="105"/>
      <c r="H40" s="105"/>
      <c r="I40" s="214">
        <v>199500</v>
      </c>
      <c r="J40" s="189"/>
      <c r="K40" s="54">
        <f t="shared" si="10"/>
        <v>199500</v>
      </c>
      <c r="L40" s="54">
        <f t="shared" si="11"/>
        <v>0</v>
      </c>
      <c r="M40" s="54">
        <f t="shared" si="12"/>
        <v>199500</v>
      </c>
      <c r="N40" s="162">
        <f t="shared" si="2"/>
        <v>0</v>
      </c>
      <c r="O40" s="3"/>
      <c r="P40" s="3"/>
    </row>
    <row r="41" spans="1:16" x14ac:dyDescent="0.25">
      <c r="A41" s="29"/>
      <c r="B41" s="33"/>
      <c r="C41" s="34"/>
      <c r="D41" s="34" t="s">
        <v>123</v>
      </c>
      <c r="E41" s="46"/>
      <c r="F41" s="53">
        <v>8590</v>
      </c>
      <c r="G41" s="105"/>
      <c r="H41" s="105"/>
      <c r="I41" s="214"/>
      <c r="J41" s="189"/>
      <c r="K41" s="54">
        <f t="shared" si="10"/>
        <v>0</v>
      </c>
      <c r="L41" s="54">
        <f t="shared" si="11"/>
        <v>0</v>
      </c>
      <c r="M41" s="54">
        <f t="shared" si="12"/>
        <v>0</v>
      </c>
      <c r="N41" s="162">
        <f t="shared" si="2"/>
        <v>0</v>
      </c>
      <c r="O41" s="3"/>
      <c r="P41" s="3"/>
    </row>
    <row r="42" spans="1:16" x14ac:dyDescent="0.25">
      <c r="A42" s="29"/>
      <c r="B42" s="33"/>
      <c r="C42" s="34"/>
      <c r="D42" s="34" t="s">
        <v>120</v>
      </c>
      <c r="E42" s="46"/>
      <c r="F42" s="53">
        <v>8590</v>
      </c>
      <c r="G42" s="105"/>
      <c r="H42" s="105"/>
      <c r="I42" s="214">
        <v>94200</v>
      </c>
      <c r="J42" s="189"/>
      <c r="K42" s="54">
        <f t="shared" si="10"/>
        <v>94200</v>
      </c>
      <c r="L42" s="54">
        <f t="shared" si="11"/>
        <v>0</v>
      </c>
      <c r="M42" s="54">
        <f t="shared" si="12"/>
        <v>94200</v>
      </c>
      <c r="N42" s="162">
        <f t="shared" si="2"/>
        <v>0</v>
      </c>
      <c r="O42" s="3"/>
      <c r="P42" s="3"/>
    </row>
    <row r="43" spans="1:16" x14ac:dyDescent="0.25">
      <c r="A43" s="29"/>
      <c r="B43" s="33"/>
      <c r="C43" s="34"/>
      <c r="D43" s="34" t="s">
        <v>191</v>
      </c>
      <c r="E43" s="46"/>
      <c r="F43" s="53">
        <v>8590</v>
      </c>
      <c r="G43" s="105"/>
      <c r="H43" s="105"/>
      <c r="I43" s="214"/>
      <c r="J43" s="189"/>
      <c r="K43" s="54">
        <f t="shared" si="10"/>
        <v>0</v>
      </c>
      <c r="L43" s="54">
        <f t="shared" si="11"/>
        <v>0</v>
      </c>
      <c r="M43" s="54">
        <f t="shared" si="12"/>
        <v>0</v>
      </c>
      <c r="N43" s="162">
        <f t="shared" si="2"/>
        <v>0</v>
      </c>
      <c r="O43" s="3"/>
      <c r="P43" s="3"/>
    </row>
    <row r="44" spans="1:16" x14ac:dyDescent="0.25">
      <c r="A44" s="29"/>
      <c r="B44" s="33"/>
      <c r="C44" s="34"/>
      <c r="D44" s="34" t="s">
        <v>124</v>
      </c>
      <c r="E44" s="46"/>
      <c r="F44" s="53">
        <v>8560</v>
      </c>
      <c r="G44" s="214">
        <v>68510</v>
      </c>
      <c r="H44" s="188">
        <v>553.47</v>
      </c>
      <c r="I44" s="105"/>
      <c r="J44" s="105"/>
      <c r="K44" s="54">
        <f t="shared" si="10"/>
        <v>68510</v>
      </c>
      <c r="L44" s="54">
        <f t="shared" si="11"/>
        <v>553.47</v>
      </c>
      <c r="M44" s="54">
        <f t="shared" si="12"/>
        <v>68510</v>
      </c>
      <c r="N44" s="162">
        <f t="shared" si="2"/>
        <v>0</v>
      </c>
      <c r="O44" s="3"/>
      <c r="P44" s="3"/>
    </row>
    <row r="45" spans="1:16" x14ac:dyDescent="0.25">
      <c r="A45" s="29"/>
      <c r="B45" s="33"/>
      <c r="C45" s="34"/>
      <c r="D45" s="34" t="s">
        <v>165</v>
      </c>
      <c r="E45" s="46"/>
      <c r="F45" s="53">
        <v>8560</v>
      </c>
      <c r="G45" s="105"/>
      <c r="H45" s="105"/>
      <c r="I45" s="214">
        <v>27001</v>
      </c>
      <c r="J45" s="189">
        <v>1070.06</v>
      </c>
      <c r="K45" s="54">
        <f t="shared" si="10"/>
        <v>27001</v>
      </c>
      <c r="L45" s="54">
        <f t="shared" si="11"/>
        <v>1070.06</v>
      </c>
      <c r="M45" s="54">
        <f t="shared" si="12"/>
        <v>27001</v>
      </c>
      <c r="N45" s="162">
        <f t="shared" si="2"/>
        <v>0</v>
      </c>
      <c r="O45" s="3"/>
      <c r="P45" s="3"/>
    </row>
    <row r="46" spans="1:16" x14ac:dyDescent="0.25">
      <c r="A46" s="29"/>
      <c r="B46" s="33"/>
      <c r="C46" s="34"/>
      <c r="D46" s="34" t="s">
        <v>119</v>
      </c>
      <c r="E46" s="46"/>
      <c r="F46" s="53">
        <v>8590</v>
      </c>
      <c r="G46" s="105"/>
      <c r="H46" s="105"/>
      <c r="I46" s="214"/>
      <c r="J46" s="189"/>
      <c r="K46" s="54">
        <f t="shared" si="10"/>
        <v>0</v>
      </c>
      <c r="L46" s="54">
        <f t="shared" si="11"/>
        <v>0</v>
      </c>
      <c r="M46" s="54">
        <f t="shared" si="12"/>
        <v>0</v>
      </c>
      <c r="N46" s="162">
        <f t="shared" si="2"/>
        <v>0</v>
      </c>
      <c r="O46" s="3"/>
      <c r="P46" s="3"/>
    </row>
    <row r="47" spans="1:16" x14ac:dyDescent="0.25">
      <c r="A47" s="29"/>
      <c r="B47" s="33"/>
      <c r="C47" s="34"/>
      <c r="D47" s="34" t="s">
        <v>196</v>
      </c>
      <c r="E47" s="46"/>
      <c r="F47" s="53" t="s">
        <v>79</v>
      </c>
      <c r="G47" s="214"/>
      <c r="H47" s="188"/>
      <c r="I47" s="214">
        <f>1174322-94200</f>
        <v>1080122</v>
      </c>
      <c r="J47" s="241">
        <v>29514.99</v>
      </c>
      <c r="K47" s="54">
        <f t="shared" si="10"/>
        <v>1080122</v>
      </c>
      <c r="L47" s="54">
        <f t="shared" si="11"/>
        <v>29514.99</v>
      </c>
      <c r="M47" s="54">
        <f t="shared" si="12"/>
        <v>1080122</v>
      </c>
      <c r="N47" s="162">
        <f t="shared" si="2"/>
        <v>0</v>
      </c>
      <c r="O47" s="3"/>
      <c r="P47" s="3"/>
    </row>
    <row r="48" spans="1:16" x14ac:dyDescent="0.25">
      <c r="A48" s="29"/>
      <c r="B48" s="163"/>
      <c r="C48" s="45" t="s">
        <v>82</v>
      </c>
      <c r="D48" s="45"/>
      <c r="E48" s="56"/>
      <c r="F48" s="56"/>
      <c r="G48" s="58">
        <f t="shared" ref="G48:M48" si="13">SUM(G37:G47)</f>
        <v>79748.77</v>
      </c>
      <c r="H48" s="67">
        <f t="shared" si="13"/>
        <v>553.47</v>
      </c>
      <c r="I48" s="67">
        <f t="shared" si="13"/>
        <v>1844783.2</v>
      </c>
      <c r="J48" s="106">
        <f t="shared" si="13"/>
        <v>134100.04999999999</v>
      </c>
      <c r="K48" s="58">
        <f t="shared" si="13"/>
        <v>1924531.97</v>
      </c>
      <c r="L48" s="67">
        <f t="shared" si="13"/>
        <v>134653.51999999999</v>
      </c>
      <c r="M48" s="59">
        <f t="shared" si="13"/>
        <v>1924531.97</v>
      </c>
      <c r="N48" s="164">
        <f t="shared" si="2"/>
        <v>0</v>
      </c>
      <c r="O48" s="3">
        <f>+G48+I48-K48</f>
        <v>0</v>
      </c>
      <c r="P48" s="5">
        <f>+H48+J48-L48</f>
        <v>0</v>
      </c>
    </row>
    <row r="49" spans="1:16" x14ac:dyDescent="0.25">
      <c r="A49" s="29"/>
      <c r="B49" s="61"/>
      <c r="C49" s="62" t="s">
        <v>133</v>
      </c>
      <c r="D49" s="62"/>
      <c r="E49" s="47"/>
      <c r="F49" s="46"/>
      <c r="G49" s="64"/>
      <c r="H49" s="64"/>
      <c r="I49" s="64"/>
      <c r="J49" s="75"/>
      <c r="K49" s="68"/>
      <c r="L49" s="64"/>
      <c r="M49" s="54"/>
      <c r="N49" s="162">
        <f t="shared" si="2"/>
        <v>0</v>
      </c>
      <c r="O49" s="3"/>
      <c r="P49" s="3"/>
    </row>
    <row r="50" spans="1:16" x14ac:dyDescent="0.25">
      <c r="A50" s="29"/>
      <c r="B50" s="33"/>
      <c r="C50" s="34"/>
      <c r="D50" s="34" t="s">
        <v>134</v>
      </c>
      <c r="E50" s="46"/>
      <c r="F50" s="53" t="s">
        <v>98</v>
      </c>
      <c r="G50" s="215">
        <v>2217</v>
      </c>
      <c r="H50" s="239">
        <v>2216.9299999999998</v>
      </c>
      <c r="I50" s="215"/>
      <c r="J50" s="191"/>
      <c r="K50" s="54">
        <f>G50+I50</f>
        <v>2217</v>
      </c>
      <c r="L50" s="54">
        <f>H50+J50</f>
        <v>2216.9299999999998</v>
      </c>
      <c r="M50" s="54">
        <f>IF(K50&gt;L50,K50,L50)</f>
        <v>2217</v>
      </c>
      <c r="N50" s="162">
        <f t="shared" si="2"/>
        <v>0</v>
      </c>
      <c r="O50" s="3"/>
      <c r="P50" s="3"/>
    </row>
    <row r="51" spans="1:16" x14ac:dyDescent="0.25">
      <c r="A51" s="29"/>
      <c r="B51" s="33"/>
      <c r="C51" s="34" t="s">
        <v>83</v>
      </c>
      <c r="D51" s="34"/>
      <c r="E51" s="46"/>
      <c r="F51" s="56"/>
      <c r="G51" s="58">
        <f t="shared" ref="G51:M51" si="14">SUM(G50:G50)</f>
        <v>2217</v>
      </c>
      <c r="H51" s="67">
        <f t="shared" si="14"/>
        <v>2216.9299999999998</v>
      </c>
      <c r="I51" s="67">
        <f t="shared" si="14"/>
        <v>0</v>
      </c>
      <c r="J51" s="106">
        <f t="shared" si="14"/>
        <v>0</v>
      </c>
      <c r="K51" s="59">
        <f t="shared" si="14"/>
        <v>2217</v>
      </c>
      <c r="L51" s="54">
        <f t="shared" si="14"/>
        <v>2216.9299999999998</v>
      </c>
      <c r="M51" s="59">
        <f t="shared" si="14"/>
        <v>2217</v>
      </c>
      <c r="N51" s="164">
        <f t="shared" si="2"/>
        <v>0</v>
      </c>
      <c r="O51" s="3">
        <f>+G51+I51-K51</f>
        <v>0</v>
      </c>
      <c r="P51" s="237">
        <f>+H51+J51-L51</f>
        <v>0</v>
      </c>
    </row>
    <row r="52" spans="1:16" ht="10.5" customHeight="1" x14ac:dyDescent="0.25">
      <c r="A52" s="29"/>
      <c r="B52" s="61"/>
      <c r="C52" s="62"/>
      <c r="D52" s="62"/>
      <c r="E52" s="47"/>
      <c r="F52" s="46"/>
      <c r="G52" s="64"/>
      <c r="H52" s="64"/>
      <c r="I52" s="64"/>
      <c r="J52" s="75"/>
      <c r="K52" s="64"/>
      <c r="L52" s="64"/>
      <c r="M52" s="54"/>
      <c r="N52" s="162"/>
      <c r="O52" s="3"/>
      <c r="P52" s="3"/>
    </row>
    <row r="53" spans="1:16" x14ac:dyDescent="0.25">
      <c r="A53" s="32"/>
      <c r="B53" s="43"/>
      <c r="C53" s="69" t="s">
        <v>2</v>
      </c>
      <c r="D53" s="69"/>
      <c r="E53" s="70"/>
      <c r="F53" s="71"/>
      <c r="G53" s="72">
        <f>G21+G48+G35+G51</f>
        <v>5019124.3599999994</v>
      </c>
      <c r="H53" s="72">
        <f t="shared" ref="H53:N53" si="15">H21+H48+H35+H51</f>
        <v>1447534.4</v>
      </c>
      <c r="I53" s="72">
        <f t="shared" si="15"/>
        <v>3019374.2</v>
      </c>
      <c r="J53" s="72">
        <f>J21+J48+J35+J51</f>
        <v>172300.05</v>
      </c>
      <c r="K53" s="72">
        <f>K21+K48+K35+K51</f>
        <v>8038498.5599999996</v>
      </c>
      <c r="L53" s="72">
        <f t="shared" si="15"/>
        <v>1619834.45</v>
      </c>
      <c r="M53" s="72">
        <f t="shared" si="15"/>
        <v>8038498.5599999996</v>
      </c>
      <c r="N53" s="165">
        <f t="shared" si="15"/>
        <v>0</v>
      </c>
      <c r="O53" s="3">
        <f>+G53+I53-K53</f>
        <v>0</v>
      </c>
      <c r="P53" s="3">
        <f>+H53+J53-L53</f>
        <v>0</v>
      </c>
    </row>
    <row r="54" spans="1:16" x14ac:dyDescent="0.25">
      <c r="A54" s="29"/>
      <c r="B54" s="61" t="s">
        <v>97</v>
      </c>
      <c r="C54" s="62"/>
      <c r="D54" s="62"/>
      <c r="E54" s="47"/>
      <c r="F54" s="46"/>
      <c r="G54" s="54"/>
      <c r="H54" s="54"/>
      <c r="I54" s="64"/>
      <c r="J54" s="65"/>
      <c r="K54" s="68"/>
      <c r="L54" s="54"/>
      <c r="M54" s="54"/>
      <c r="N54" s="162"/>
      <c r="O54" s="3"/>
      <c r="P54" s="3"/>
    </row>
    <row r="55" spans="1:16" x14ac:dyDescent="0.25">
      <c r="A55" s="29"/>
      <c r="B55" s="33"/>
      <c r="C55" s="34" t="s">
        <v>3</v>
      </c>
      <c r="D55" s="34"/>
      <c r="E55" s="46"/>
      <c r="F55" s="53"/>
      <c r="G55" s="54"/>
      <c r="H55" s="54"/>
      <c r="I55" s="54"/>
      <c r="J55" s="65"/>
      <c r="K55" s="54"/>
      <c r="L55" s="54"/>
      <c r="M55" s="54"/>
      <c r="N55" s="162"/>
      <c r="O55" s="3"/>
      <c r="P55" s="3"/>
    </row>
    <row r="56" spans="1:16" x14ac:dyDescent="0.25">
      <c r="A56" s="29"/>
      <c r="B56" s="33"/>
      <c r="C56" s="34"/>
      <c r="D56" s="34" t="s">
        <v>167</v>
      </c>
      <c r="E56" s="46"/>
      <c r="F56" s="53">
        <v>1100</v>
      </c>
      <c r="G56" s="214">
        <f>2508205.4-I56</f>
        <v>1908205.4</v>
      </c>
      <c r="H56" s="240">
        <f>708947.53-J56</f>
        <v>620492.12</v>
      </c>
      <c r="I56" s="213">
        <v>600000</v>
      </c>
      <c r="J56" s="241">
        <v>88455.41</v>
      </c>
      <c r="K56" s="54">
        <f t="shared" ref="K56:L59" si="16">G56+I56</f>
        <v>2508205.4</v>
      </c>
      <c r="L56" s="54">
        <f t="shared" si="16"/>
        <v>708947.53</v>
      </c>
      <c r="M56" s="54">
        <f>IF(K56&gt;L56,K56,L56)</f>
        <v>2508205.4</v>
      </c>
      <c r="N56" s="162">
        <f t="shared" ref="N56:N108" si="17">+M56-K56</f>
        <v>0</v>
      </c>
      <c r="O56" s="3"/>
      <c r="P56" s="3"/>
    </row>
    <row r="57" spans="1:16" x14ac:dyDescent="0.25">
      <c r="A57" s="29"/>
      <c r="B57" s="33"/>
      <c r="C57" s="34"/>
      <c r="D57" s="34" t="s">
        <v>168</v>
      </c>
      <c r="E57" s="46"/>
      <c r="F57" s="53">
        <v>1200</v>
      </c>
      <c r="G57" s="214">
        <f>188000-I57</f>
        <v>128000</v>
      </c>
      <c r="H57" s="188">
        <f>51272.76-J57</f>
        <v>22636.38</v>
      </c>
      <c r="I57" s="213">
        <v>60000</v>
      </c>
      <c r="J57" s="189">
        <v>28636.38</v>
      </c>
      <c r="K57" s="54">
        <f t="shared" si="16"/>
        <v>188000</v>
      </c>
      <c r="L57" s="54">
        <f t="shared" si="16"/>
        <v>51272.76</v>
      </c>
      <c r="M57" s="54">
        <f>IF(K57&gt;L57,K57,L57)</f>
        <v>188000</v>
      </c>
      <c r="N57" s="162">
        <f t="shared" si="17"/>
        <v>0</v>
      </c>
      <c r="O57" s="3"/>
      <c r="P57" s="3"/>
    </row>
    <row r="58" spans="1:16" x14ac:dyDescent="0.25">
      <c r="A58" s="29"/>
      <c r="B58" s="33"/>
      <c r="C58" s="34"/>
      <c r="D58" s="34" t="s">
        <v>169</v>
      </c>
      <c r="E58" s="46"/>
      <c r="F58" s="53">
        <v>1300</v>
      </c>
      <c r="G58" s="214">
        <f>558318.18-I58</f>
        <v>478318.18000000005</v>
      </c>
      <c r="H58" s="188">
        <f>212007.52-J58</f>
        <v>196462.15999999997</v>
      </c>
      <c r="I58" s="213">
        <v>80000</v>
      </c>
      <c r="J58" s="189">
        <v>15545.36</v>
      </c>
      <c r="K58" s="54">
        <f t="shared" si="16"/>
        <v>558318.18000000005</v>
      </c>
      <c r="L58" s="54">
        <f t="shared" si="16"/>
        <v>212007.51999999996</v>
      </c>
      <c r="M58" s="54">
        <f>IF(K58&gt;L58,K58,L58)</f>
        <v>558318.18000000005</v>
      </c>
      <c r="N58" s="162">
        <f t="shared" si="17"/>
        <v>0</v>
      </c>
      <c r="O58" s="3"/>
      <c r="P58" s="3"/>
    </row>
    <row r="59" spans="1:16" x14ac:dyDescent="0.25">
      <c r="A59" s="29"/>
      <c r="B59" s="33"/>
      <c r="C59" s="34"/>
      <c r="D59" s="34" t="s">
        <v>55</v>
      </c>
      <c r="E59" s="46"/>
      <c r="F59" s="53">
        <v>1900</v>
      </c>
      <c r="G59" s="214">
        <f>8750-I59</f>
        <v>8750</v>
      </c>
      <c r="H59" s="188"/>
      <c r="I59" s="213"/>
      <c r="J59" s="189"/>
      <c r="K59" s="54">
        <f t="shared" si="16"/>
        <v>8750</v>
      </c>
      <c r="L59" s="54">
        <f t="shared" si="16"/>
        <v>0</v>
      </c>
      <c r="M59" s="54">
        <f>IF(K59&gt;L59,K59,L59)</f>
        <v>8750</v>
      </c>
      <c r="N59" s="162">
        <f t="shared" si="17"/>
        <v>0</v>
      </c>
      <c r="O59" s="3"/>
      <c r="P59" s="3"/>
    </row>
    <row r="60" spans="1:16" x14ac:dyDescent="0.25">
      <c r="A60" s="30"/>
      <c r="B60" s="163"/>
      <c r="C60" s="45" t="s">
        <v>4</v>
      </c>
      <c r="D60" s="45"/>
      <c r="E60" s="56"/>
      <c r="F60" s="57"/>
      <c r="G60" s="58">
        <f t="shared" ref="G60:M60" si="18">SUM(G56:G59)</f>
        <v>2523273.58</v>
      </c>
      <c r="H60" s="58">
        <f t="shared" si="18"/>
        <v>839590.65999999992</v>
      </c>
      <c r="I60" s="58">
        <f t="shared" si="18"/>
        <v>740000</v>
      </c>
      <c r="J60" s="76">
        <f t="shared" si="18"/>
        <v>132637.15000000002</v>
      </c>
      <c r="K60" s="59">
        <f t="shared" si="18"/>
        <v>3263273.58</v>
      </c>
      <c r="L60" s="59">
        <f t="shared" si="18"/>
        <v>972227.81</v>
      </c>
      <c r="M60" s="59">
        <f t="shared" si="18"/>
        <v>3263273.58</v>
      </c>
      <c r="N60" s="164">
        <f t="shared" si="17"/>
        <v>0</v>
      </c>
      <c r="O60" s="3">
        <f>+G60+I60-K60</f>
        <v>0</v>
      </c>
      <c r="P60" s="238">
        <f>+H60+J60-L60</f>
        <v>0</v>
      </c>
    </row>
    <row r="61" spans="1:16" x14ac:dyDescent="0.25">
      <c r="A61" s="29"/>
      <c r="B61" s="33"/>
      <c r="C61" s="34" t="s">
        <v>5</v>
      </c>
      <c r="D61" s="34"/>
      <c r="E61" s="34"/>
      <c r="F61" s="63"/>
      <c r="G61" s="54"/>
      <c r="H61" s="54"/>
      <c r="I61" s="54"/>
      <c r="J61" s="65"/>
      <c r="K61" s="147"/>
      <c r="L61" s="54"/>
      <c r="M61" s="54"/>
      <c r="N61" s="162">
        <f t="shared" si="17"/>
        <v>0</v>
      </c>
      <c r="O61" s="3"/>
      <c r="P61" s="3"/>
    </row>
    <row r="62" spans="1:16" x14ac:dyDescent="0.25">
      <c r="A62" s="29"/>
      <c r="B62" s="33"/>
      <c r="C62" s="34"/>
      <c r="D62" s="34" t="s">
        <v>170</v>
      </c>
      <c r="E62" s="34"/>
      <c r="F62" s="63">
        <v>2100</v>
      </c>
      <c r="G62" s="214">
        <f>561959.988-I62</f>
        <v>231959.98800000001</v>
      </c>
      <c r="H62" s="188">
        <f>186225.59-J62</f>
        <v>66638.73</v>
      </c>
      <c r="I62" s="213">
        <v>330000</v>
      </c>
      <c r="J62" s="241">
        <v>119586.86</v>
      </c>
      <c r="K62" s="54">
        <f t="shared" ref="K62:L66" si="19">G62+I62</f>
        <v>561959.98800000001</v>
      </c>
      <c r="L62" s="54">
        <f t="shared" si="19"/>
        <v>186225.59</v>
      </c>
      <c r="M62" s="54">
        <f>IF(K62&gt;L62,K62,L62)</f>
        <v>561959.98800000001</v>
      </c>
      <c r="N62" s="162">
        <f t="shared" si="17"/>
        <v>0</v>
      </c>
      <c r="O62" s="3"/>
      <c r="P62" s="3"/>
    </row>
    <row r="63" spans="1:16" x14ac:dyDescent="0.25">
      <c r="A63" s="29"/>
      <c r="B63" s="33"/>
      <c r="C63" s="34"/>
      <c r="D63" s="34" t="s">
        <v>171</v>
      </c>
      <c r="E63" s="34"/>
      <c r="F63" s="63">
        <v>2200</v>
      </c>
      <c r="G63" s="214">
        <f>196613.494-I63</f>
        <v>176613.49400000001</v>
      </c>
      <c r="H63" s="188">
        <f>51986.72-J63</f>
        <v>42051.3</v>
      </c>
      <c r="I63" s="213">
        <v>20000</v>
      </c>
      <c r="J63" s="241">
        <v>9935.42</v>
      </c>
      <c r="K63" s="54">
        <f t="shared" si="19"/>
        <v>196613.49400000001</v>
      </c>
      <c r="L63" s="54">
        <f t="shared" si="19"/>
        <v>51986.720000000001</v>
      </c>
      <c r="M63" s="54">
        <f>IF(K63&gt;L63,K63,L63)</f>
        <v>196613.49400000001</v>
      </c>
      <c r="N63" s="162">
        <f t="shared" si="17"/>
        <v>0</v>
      </c>
      <c r="O63" s="3"/>
      <c r="P63" s="3"/>
    </row>
    <row r="64" spans="1:16" x14ac:dyDescent="0.25">
      <c r="A64" s="29"/>
      <c r="B64" s="33"/>
      <c r="C64" s="34"/>
      <c r="D64" s="34" t="s">
        <v>172</v>
      </c>
      <c r="E64" s="34"/>
      <c r="F64" s="63">
        <v>2300</v>
      </c>
      <c r="G64" s="214">
        <v>0</v>
      </c>
      <c r="H64" s="188"/>
      <c r="I64" s="213"/>
      <c r="J64" s="189"/>
      <c r="K64" s="54">
        <f t="shared" si="19"/>
        <v>0</v>
      </c>
      <c r="L64" s="54">
        <f t="shared" si="19"/>
        <v>0</v>
      </c>
      <c r="M64" s="54">
        <f>IF(K64&gt;L64,K64,L64)</f>
        <v>0</v>
      </c>
      <c r="N64" s="162">
        <f t="shared" si="17"/>
        <v>0</v>
      </c>
      <c r="O64" s="3"/>
      <c r="P64" s="3"/>
    </row>
    <row r="65" spans="1:16" x14ac:dyDescent="0.25">
      <c r="A65" s="29"/>
      <c r="B65" s="33"/>
      <c r="C65" s="34"/>
      <c r="D65" s="34" t="s">
        <v>56</v>
      </c>
      <c r="E65" s="34"/>
      <c r="F65" s="63">
        <v>2400</v>
      </c>
      <c r="G65" s="214">
        <f>459907.9-I65</f>
        <v>129907.90000000002</v>
      </c>
      <c r="H65" s="188">
        <f>166446.24-J65</f>
        <v>146990.75</v>
      </c>
      <c r="I65" s="213">
        <v>330000</v>
      </c>
      <c r="J65" s="241">
        <v>19455.490000000002</v>
      </c>
      <c r="K65" s="54">
        <f t="shared" si="19"/>
        <v>459907.9</v>
      </c>
      <c r="L65" s="54">
        <f t="shared" si="19"/>
        <v>166446.24</v>
      </c>
      <c r="M65" s="54">
        <f>IF(K65&gt;L65,K65,L65)</f>
        <v>459907.9</v>
      </c>
      <c r="N65" s="162">
        <f t="shared" si="17"/>
        <v>0</v>
      </c>
      <c r="O65" s="3"/>
      <c r="P65" s="3"/>
    </row>
    <row r="66" spans="1:16" x14ac:dyDescent="0.25">
      <c r="A66" s="29"/>
      <c r="B66" s="33"/>
      <c r="C66" s="34"/>
      <c r="D66" s="34" t="s">
        <v>57</v>
      </c>
      <c r="E66" s="34"/>
      <c r="F66" s="63">
        <v>2900</v>
      </c>
      <c r="G66" s="214">
        <f>164354.5-I66</f>
        <v>54354.5</v>
      </c>
      <c r="H66" s="188">
        <f>88392.43-J66</f>
        <v>27820.899999999994</v>
      </c>
      <c r="I66" s="213">
        <v>110000</v>
      </c>
      <c r="J66" s="241">
        <v>60571.53</v>
      </c>
      <c r="K66" s="54">
        <f t="shared" si="19"/>
        <v>164354.5</v>
      </c>
      <c r="L66" s="54">
        <f t="shared" si="19"/>
        <v>88392.43</v>
      </c>
      <c r="M66" s="54">
        <f>IF(K66&gt;L66,K66,L66)</f>
        <v>164354.5</v>
      </c>
      <c r="N66" s="162">
        <f t="shared" si="17"/>
        <v>0</v>
      </c>
      <c r="O66" s="3"/>
      <c r="P66" s="3"/>
    </row>
    <row r="67" spans="1:16" x14ac:dyDescent="0.25">
      <c r="A67" s="29"/>
      <c r="B67" s="33"/>
      <c r="C67" s="34" t="s">
        <v>6</v>
      </c>
      <c r="D67" s="34"/>
      <c r="E67" s="34"/>
      <c r="F67" s="73"/>
      <c r="G67" s="67">
        <f t="shared" ref="G67:M67" si="20">SUM(G62:G66)</f>
        <v>592835.88199999998</v>
      </c>
      <c r="H67" s="67">
        <f t="shared" si="20"/>
        <v>283501.68</v>
      </c>
      <c r="I67" s="67">
        <f t="shared" si="20"/>
        <v>790000</v>
      </c>
      <c r="J67" s="106">
        <f t="shared" si="20"/>
        <v>209549.3</v>
      </c>
      <c r="K67" s="67">
        <f t="shared" si="20"/>
        <v>1382835.8820000002</v>
      </c>
      <c r="L67" s="58">
        <f t="shared" si="20"/>
        <v>493050.98</v>
      </c>
      <c r="M67" s="59">
        <f t="shared" si="20"/>
        <v>1382835.8820000002</v>
      </c>
      <c r="N67" s="164">
        <f t="shared" si="17"/>
        <v>0</v>
      </c>
      <c r="O67" s="3">
        <f>+G67+I67-K67</f>
        <v>0</v>
      </c>
      <c r="P67" s="5">
        <f>+H67+J67-L67</f>
        <v>0</v>
      </c>
    </row>
    <row r="68" spans="1:16" x14ac:dyDescent="0.25">
      <c r="A68" s="29"/>
      <c r="B68" s="61"/>
      <c r="C68" s="62" t="s">
        <v>7</v>
      </c>
      <c r="D68" s="62"/>
      <c r="E68" s="47"/>
      <c r="F68" s="74"/>
      <c r="G68" s="64"/>
      <c r="H68" s="64"/>
      <c r="I68" s="64"/>
      <c r="J68" s="75"/>
      <c r="K68" s="68"/>
      <c r="L68" s="54"/>
      <c r="M68" s="64"/>
      <c r="N68" s="166">
        <f t="shared" si="17"/>
        <v>0</v>
      </c>
      <c r="O68" s="3"/>
      <c r="P68" s="3"/>
    </row>
    <row r="69" spans="1:16" x14ac:dyDescent="0.25">
      <c r="A69" s="29"/>
      <c r="B69" s="33"/>
      <c r="C69" s="34"/>
      <c r="D69" s="34" t="s">
        <v>58</v>
      </c>
      <c r="E69" s="46"/>
      <c r="F69" s="53" t="s">
        <v>8</v>
      </c>
      <c r="G69" s="214">
        <f>581069.46968-I69</f>
        <v>351069.46967999998</v>
      </c>
      <c r="H69" s="188">
        <f>179203.72-J69</f>
        <v>154269.10999999999</v>
      </c>
      <c r="I69" s="213">
        <v>230000</v>
      </c>
      <c r="J69" s="241">
        <v>24934.61</v>
      </c>
      <c r="K69" s="54">
        <f>G69+I69</f>
        <v>581069.46967999998</v>
      </c>
      <c r="L69" s="54">
        <f>H69+J69</f>
        <v>179203.71999999997</v>
      </c>
      <c r="M69" s="54">
        <f>IF(K69&gt;L69,K69,L69)</f>
        <v>581069.46967999998</v>
      </c>
      <c r="N69" s="162">
        <f t="shared" si="17"/>
        <v>0</v>
      </c>
      <c r="O69" s="3"/>
      <c r="P69" s="3"/>
    </row>
    <row r="70" spans="1:16" x14ac:dyDescent="0.25">
      <c r="A70" s="29"/>
      <c r="B70" s="33"/>
      <c r="C70" s="34"/>
      <c r="D70" s="34" t="s">
        <v>59</v>
      </c>
      <c r="E70" s="46"/>
      <c r="F70" s="53" t="s">
        <v>9</v>
      </c>
      <c r="G70" s="214">
        <v>0</v>
      </c>
      <c r="H70" s="188"/>
      <c r="I70" s="213"/>
      <c r="J70" s="189"/>
      <c r="K70" s="54">
        <f t="shared" ref="K70:L77" si="21">G70+I70</f>
        <v>0</v>
      </c>
      <c r="L70" s="54">
        <f t="shared" si="21"/>
        <v>0</v>
      </c>
      <c r="M70" s="54">
        <f>IF(K70&gt;L70,K70,L70)</f>
        <v>0</v>
      </c>
      <c r="N70" s="162">
        <f t="shared" si="17"/>
        <v>0</v>
      </c>
      <c r="O70" s="3"/>
      <c r="P70" s="3"/>
    </row>
    <row r="71" spans="1:16" x14ac:dyDescent="0.25">
      <c r="A71" s="29"/>
      <c r="B71" s="33"/>
      <c r="C71" s="34"/>
      <c r="D71" s="34" t="s">
        <v>137</v>
      </c>
      <c r="E71" s="46"/>
      <c r="F71" s="53" t="s">
        <v>10</v>
      </c>
      <c r="G71" s="214">
        <f>165405.743284-I71</f>
        <v>95405.743283999996</v>
      </c>
      <c r="H71" s="240">
        <f>51738.41-J71</f>
        <v>33825.25</v>
      </c>
      <c r="I71" s="213">
        <v>70000</v>
      </c>
      <c r="J71" s="241">
        <v>17913.16</v>
      </c>
      <c r="K71" s="54">
        <f t="shared" si="21"/>
        <v>165405.743284</v>
      </c>
      <c r="L71" s="54">
        <f t="shared" si="21"/>
        <v>51738.41</v>
      </c>
      <c r="M71" s="54">
        <f t="shared" ref="M71:M77" si="22">IF(K71&gt;L71,K71,L71)</f>
        <v>165405.743284</v>
      </c>
      <c r="N71" s="162">
        <f t="shared" si="17"/>
        <v>0</v>
      </c>
      <c r="O71" s="3"/>
      <c r="P71" s="3"/>
    </row>
    <row r="72" spans="1:16" x14ac:dyDescent="0.25">
      <c r="A72" s="29"/>
      <c r="B72" s="33"/>
      <c r="C72" s="34"/>
      <c r="D72" s="34" t="s">
        <v>60</v>
      </c>
      <c r="E72" s="46"/>
      <c r="F72" s="53" t="s">
        <v>11</v>
      </c>
      <c r="G72" s="214">
        <f>443236.563-I72</f>
        <v>343236.56300000002</v>
      </c>
      <c r="H72" s="240">
        <f>107602.23-J72</f>
        <v>83394.45</v>
      </c>
      <c r="I72" s="213">
        <v>100000</v>
      </c>
      <c r="J72" s="241">
        <v>24207.78</v>
      </c>
      <c r="K72" s="54">
        <f t="shared" si="21"/>
        <v>443236.56300000002</v>
      </c>
      <c r="L72" s="54">
        <f t="shared" si="21"/>
        <v>107602.23</v>
      </c>
      <c r="M72" s="54">
        <f t="shared" si="22"/>
        <v>443236.56300000002</v>
      </c>
      <c r="N72" s="162">
        <f t="shared" si="17"/>
        <v>0</v>
      </c>
      <c r="O72" s="3"/>
      <c r="P72" s="3"/>
    </row>
    <row r="73" spans="1:16" x14ac:dyDescent="0.25">
      <c r="A73" s="29"/>
      <c r="B73" s="33"/>
      <c r="C73" s="34"/>
      <c r="D73" s="34" t="s">
        <v>61</v>
      </c>
      <c r="E73" s="46"/>
      <c r="F73" s="53" t="s">
        <v>12</v>
      </c>
      <c r="G73" s="214">
        <f>40297.4-I73</f>
        <v>30297.4</v>
      </c>
      <c r="H73" s="240">
        <f>3738.36-J73</f>
        <v>3474.76</v>
      </c>
      <c r="I73" s="213">
        <v>10000</v>
      </c>
      <c r="J73" s="241">
        <v>263.60000000000002</v>
      </c>
      <c r="K73" s="54">
        <f t="shared" si="21"/>
        <v>40297.4</v>
      </c>
      <c r="L73" s="54">
        <f t="shared" si="21"/>
        <v>3738.36</v>
      </c>
      <c r="M73" s="54">
        <f t="shared" si="22"/>
        <v>40297.4</v>
      </c>
      <c r="N73" s="162">
        <f t="shared" si="17"/>
        <v>0</v>
      </c>
      <c r="O73" s="3"/>
      <c r="P73" s="3"/>
    </row>
    <row r="74" spans="1:16" x14ac:dyDescent="0.25">
      <c r="A74" s="29"/>
      <c r="B74" s="33"/>
      <c r="C74" s="34"/>
      <c r="D74" s="34" t="s">
        <v>62</v>
      </c>
      <c r="E74" s="46"/>
      <c r="F74" s="53" t="s">
        <v>13</v>
      </c>
      <c r="G74" s="214">
        <f>53179.216113-I74</f>
        <v>33179.216113000002</v>
      </c>
      <c r="H74" s="188">
        <f>28623-J74</f>
        <v>21936.760000000002</v>
      </c>
      <c r="I74" s="213">
        <v>20000</v>
      </c>
      <c r="J74" s="241">
        <v>6686.24</v>
      </c>
      <c r="K74" s="54">
        <f t="shared" si="21"/>
        <v>53179.216113000002</v>
      </c>
      <c r="L74" s="54">
        <f t="shared" si="21"/>
        <v>28623</v>
      </c>
      <c r="M74" s="54">
        <f t="shared" si="22"/>
        <v>53179.216113000002</v>
      </c>
      <c r="N74" s="162">
        <f t="shared" si="17"/>
        <v>0</v>
      </c>
      <c r="O74" s="3"/>
      <c r="P74" s="3"/>
    </row>
    <row r="75" spans="1:16" x14ac:dyDescent="0.25">
      <c r="A75" s="29"/>
      <c r="B75" s="33"/>
      <c r="C75" s="34"/>
      <c r="D75" s="34" t="s">
        <v>125</v>
      </c>
      <c r="E75" s="46"/>
      <c r="F75" s="53" t="s">
        <v>14</v>
      </c>
      <c r="G75" s="214">
        <v>0</v>
      </c>
      <c r="H75" s="188"/>
      <c r="I75" s="213"/>
      <c r="J75" s="189"/>
      <c r="K75" s="54">
        <f t="shared" si="21"/>
        <v>0</v>
      </c>
      <c r="L75" s="54">
        <f t="shared" si="21"/>
        <v>0</v>
      </c>
      <c r="M75" s="54">
        <f t="shared" si="22"/>
        <v>0</v>
      </c>
      <c r="N75" s="162">
        <f t="shared" si="17"/>
        <v>0</v>
      </c>
      <c r="O75" s="3"/>
      <c r="P75" s="3"/>
    </row>
    <row r="76" spans="1:16" x14ac:dyDescent="0.25">
      <c r="A76" s="29"/>
      <c r="B76" s="33"/>
      <c r="C76" s="34"/>
      <c r="D76" s="34" t="s">
        <v>126</v>
      </c>
      <c r="E76" s="46"/>
      <c r="F76" s="53" t="s">
        <v>127</v>
      </c>
      <c r="G76" s="214">
        <v>0</v>
      </c>
      <c r="H76" s="188"/>
      <c r="I76" s="213"/>
      <c r="J76" s="189"/>
      <c r="K76" s="54">
        <f t="shared" si="21"/>
        <v>0</v>
      </c>
      <c r="L76" s="54">
        <f t="shared" si="21"/>
        <v>0</v>
      </c>
      <c r="M76" s="54">
        <f t="shared" si="22"/>
        <v>0</v>
      </c>
      <c r="N76" s="162">
        <f t="shared" si="17"/>
        <v>0</v>
      </c>
      <c r="O76" s="3"/>
      <c r="P76" s="3"/>
    </row>
    <row r="77" spans="1:16" x14ac:dyDescent="0.25">
      <c r="A77" s="29"/>
      <c r="B77" s="33"/>
      <c r="C77" s="34"/>
      <c r="D77" s="34" t="s">
        <v>128</v>
      </c>
      <c r="E77" s="46"/>
      <c r="F77" s="53" t="s">
        <v>15</v>
      </c>
      <c r="G77" s="214">
        <v>0</v>
      </c>
      <c r="H77" s="188"/>
      <c r="I77" s="213"/>
      <c r="J77" s="189"/>
      <c r="K77" s="54">
        <f t="shared" si="21"/>
        <v>0</v>
      </c>
      <c r="L77" s="54">
        <f t="shared" si="21"/>
        <v>0</v>
      </c>
      <c r="M77" s="54">
        <f t="shared" si="22"/>
        <v>0</v>
      </c>
      <c r="N77" s="162">
        <f t="shared" si="17"/>
        <v>0</v>
      </c>
      <c r="O77" s="3"/>
      <c r="P77" s="3"/>
    </row>
    <row r="78" spans="1:16" x14ac:dyDescent="0.25">
      <c r="A78" s="29"/>
      <c r="B78" s="163"/>
      <c r="C78" s="45" t="s">
        <v>16</v>
      </c>
      <c r="D78" s="45"/>
      <c r="E78" s="56"/>
      <c r="F78" s="57"/>
      <c r="G78" s="58">
        <f t="shared" ref="G78:M78" si="23">SUM(G69:G77)</f>
        <v>853188.39207700011</v>
      </c>
      <c r="H78" s="58">
        <f t="shared" si="23"/>
        <v>296900.33</v>
      </c>
      <c r="I78" s="67">
        <f t="shared" si="23"/>
        <v>430000</v>
      </c>
      <c r="J78" s="106">
        <f t="shared" si="23"/>
        <v>74005.390000000014</v>
      </c>
      <c r="K78" s="59">
        <f t="shared" si="23"/>
        <v>1283188.3920769999</v>
      </c>
      <c r="L78" s="59">
        <f t="shared" si="23"/>
        <v>370905.72</v>
      </c>
      <c r="M78" s="59">
        <f t="shared" si="23"/>
        <v>1283188.3920769999</v>
      </c>
      <c r="N78" s="164">
        <f t="shared" si="17"/>
        <v>0</v>
      </c>
      <c r="O78" s="3">
        <f>+G78+I78-K78</f>
        <v>0</v>
      </c>
      <c r="P78" s="5">
        <f>+H78+J78-L78</f>
        <v>0</v>
      </c>
    </row>
    <row r="79" spans="1:16" x14ac:dyDescent="0.25">
      <c r="A79" s="29"/>
      <c r="B79" s="61"/>
      <c r="C79" s="62" t="s">
        <v>17</v>
      </c>
      <c r="D79" s="62"/>
      <c r="E79" s="47"/>
      <c r="F79" s="53"/>
      <c r="G79" s="54"/>
      <c r="H79" s="54"/>
      <c r="I79" s="64"/>
      <c r="J79" s="75"/>
      <c r="K79" s="68"/>
      <c r="L79" s="54"/>
      <c r="M79" s="54"/>
      <c r="N79" s="162">
        <f t="shared" si="17"/>
        <v>0</v>
      </c>
      <c r="O79" s="3"/>
      <c r="P79" s="3"/>
    </row>
    <row r="80" spans="1:16" x14ac:dyDescent="0.25">
      <c r="A80" s="29"/>
      <c r="B80" s="33"/>
      <c r="C80" s="34"/>
      <c r="D80" s="34" t="s">
        <v>63</v>
      </c>
      <c r="E80" s="46"/>
      <c r="F80" s="53">
        <v>4100</v>
      </c>
      <c r="G80" s="214">
        <f>150000-I80</f>
        <v>75000</v>
      </c>
      <c r="H80" s="188">
        <f>98425.99-J80</f>
        <v>73946.81</v>
      </c>
      <c r="I80" s="213">
        <v>75000</v>
      </c>
      <c r="J80" s="189">
        <v>24479.18</v>
      </c>
      <c r="K80" s="54">
        <f t="shared" ref="K80:L84" si="24">G80+I80</f>
        <v>150000</v>
      </c>
      <c r="L80" s="54">
        <f t="shared" si="24"/>
        <v>98425.989999999991</v>
      </c>
      <c r="M80" s="54">
        <f>IF(K80&gt;L80,K80,L80)</f>
        <v>150000</v>
      </c>
      <c r="N80" s="162">
        <f t="shared" si="17"/>
        <v>0</v>
      </c>
      <c r="O80" s="3"/>
      <c r="P80" s="3"/>
    </row>
    <row r="81" spans="1:16" x14ac:dyDescent="0.25">
      <c r="A81" s="29"/>
      <c r="B81" s="33"/>
      <c r="C81" s="34"/>
      <c r="D81" s="34" t="s">
        <v>64</v>
      </c>
      <c r="E81" s="46"/>
      <c r="F81" s="53">
        <v>4200</v>
      </c>
      <c r="G81" s="214">
        <f>19000-I81</f>
        <v>9000</v>
      </c>
      <c r="H81" s="188">
        <f>882.89-J81</f>
        <v>882.89</v>
      </c>
      <c r="I81" s="213">
        <v>10000</v>
      </c>
      <c r="J81" s="189"/>
      <c r="K81" s="54">
        <f t="shared" si="24"/>
        <v>19000</v>
      </c>
      <c r="L81" s="54">
        <f t="shared" si="24"/>
        <v>882.89</v>
      </c>
      <c r="M81" s="54">
        <f>IF(K81&gt;L81,K81,L81)</f>
        <v>19000</v>
      </c>
      <c r="N81" s="162">
        <f t="shared" si="17"/>
        <v>0</v>
      </c>
      <c r="O81" s="3"/>
      <c r="P81" s="3"/>
    </row>
    <row r="82" spans="1:16" x14ac:dyDescent="0.25">
      <c r="A82" s="29"/>
      <c r="B82" s="33"/>
      <c r="C82" s="34"/>
      <c r="D82" s="34" t="s">
        <v>65</v>
      </c>
      <c r="E82" s="46"/>
      <c r="F82" s="53">
        <v>4300</v>
      </c>
      <c r="G82" s="214">
        <f>195000-I82</f>
        <v>105000</v>
      </c>
      <c r="H82" s="240">
        <f>64332.43-J82</f>
        <v>64025.15</v>
      </c>
      <c r="I82" s="213">
        <v>90000</v>
      </c>
      <c r="J82" s="241">
        <v>307.27999999999997</v>
      </c>
      <c r="K82" s="54">
        <f t="shared" si="24"/>
        <v>195000</v>
      </c>
      <c r="L82" s="54">
        <f t="shared" si="24"/>
        <v>64332.43</v>
      </c>
      <c r="M82" s="54">
        <f>IF(K82&gt;L82,K82,L82)</f>
        <v>195000</v>
      </c>
      <c r="N82" s="162">
        <f t="shared" si="17"/>
        <v>0</v>
      </c>
      <c r="O82" s="3"/>
      <c r="P82" s="3"/>
    </row>
    <row r="83" spans="1:16" x14ac:dyDescent="0.25">
      <c r="A83" s="29"/>
      <c r="B83" s="33"/>
      <c r="C83" s="34"/>
      <c r="D83" s="34" t="s">
        <v>66</v>
      </c>
      <c r="E83" s="46"/>
      <c r="F83" s="53">
        <v>4400</v>
      </c>
      <c r="G83" s="214">
        <f>267000-I83</f>
        <v>67000</v>
      </c>
      <c r="H83" s="240">
        <f>57617.12-J83</f>
        <v>57617.120000000003</v>
      </c>
      <c r="I83" s="213">
        <v>200000</v>
      </c>
      <c r="J83" s="189"/>
      <c r="K83" s="54">
        <f t="shared" si="24"/>
        <v>267000</v>
      </c>
      <c r="L83" s="54">
        <f t="shared" si="24"/>
        <v>57617.120000000003</v>
      </c>
      <c r="M83" s="54">
        <f>IF(K83&gt;L83,K83,L83)</f>
        <v>267000</v>
      </c>
      <c r="N83" s="162">
        <f t="shared" si="17"/>
        <v>0</v>
      </c>
      <c r="O83" s="3"/>
      <c r="P83" s="3"/>
    </row>
    <row r="84" spans="1:16" x14ac:dyDescent="0.25">
      <c r="A84" s="29"/>
      <c r="B84" s="33"/>
      <c r="C84" s="34"/>
      <c r="D84" s="34" t="s">
        <v>138</v>
      </c>
      <c r="E84" s="46"/>
      <c r="F84" s="53">
        <v>4700</v>
      </c>
      <c r="G84" s="214">
        <f>1000-I84</f>
        <v>1000</v>
      </c>
      <c r="H84" s="188"/>
      <c r="I84" s="213"/>
      <c r="J84" s="189"/>
      <c r="K84" s="54">
        <f t="shared" si="24"/>
        <v>1000</v>
      </c>
      <c r="L84" s="54">
        <f t="shared" si="24"/>
        <v>0</v>
      </c>
      <c r="M84" s="54">
        <f>IF(K84&gt;L84,K84,L84)</f>
        <v>1000</v>
      </c>
      <c r="N84" s="162">
        <f t="shared" si="17"/>
        <v>0</v>
      </c>
      <c r="O84" s="3"/>
      <c r="P84" s="3"/>
    </row>
    <row r="85" spans="1:16" x14ac:dyDescent="0.25">
      <c r="A85" s="29"/>
      <c r="B85" s="33"/>
      <c r="C85" s="34" t="s">
        <v>18</v>
      </c>
      <c r="D85" s="34"/>
      <c r="E85" s="46"/>
      <c r="F85" s="57"/>
      <c r="G85" s="67">
        <f t="shared" ref="G85:M85" si="25">SUM(G80:G84)</f>
        <v>257000</v>
      </c>
      <c r="H85" s="67">
        <f t="shared" si="25"/>
        <v>196471.97</v>
      </c>
      <c r="I85" s="67">
        <f t="shared" si="25"/>
        <v>375000</v>
      </c>
      <c r="J85" s="106">
        <f t="shared" si="25"/>
        <v>24786.46</v>
      </c>
      <c r="K85" s="59">
        <f t="shared" si="25"/>
        <v>632000</v>
      </c>
      <c r="L85" s="59">
        <f t="shared" si="25"/>
        <v>221258.43</v>
      </c>
      <c r="M85" s="58">
        <f t="shared" si="25"/>
        <v>632000</v>
      </c>
      <c r="N85" s="164">
        <f t="shared" si="17"/>
        <v>0</v>
      </c>
      <c r="O85" s="3">
        <f>+G85+I85-K85</f>
        <v>0</v>
      </c>
      <c r="P85" s="5">
        <f>+H85+J85-L85</f>
        <v>0</v>
      </c>
    </row>
    <row r="86" spans="1:16" x14ac:dyDescent="0.25">
      <c r="A86" s="29"/>
      <c r="B86" s="61"/>
      <c r="C86" s="62" t="s">
        <v>19</v>
      </c>
      <c r="D86" s="62"/>
      <c r="E86" s="47"/>
      <c r="F86" s="53"/>
      <c r="G86" s="64"/>
      <c r="H86" s="64"/>
      <c r="I86" s="64"/>
      <c r="J86" s="75"/>
      <c r="K86" s="68"/>
      <c r="L86" s="54"/>
      <c r="M86" s="54"/>
      <c r="N86" s="162">
        <f t="shared" si="17"/>
        <v>0</v>
      </c>
      <c r="O86" s="3"/>
      <c r="P86" s="3"/>
    </row>
    <row r="87" spans="1:16" x14ac:dyDescent="0.25">
      <c r="A87" s="29"/>
      <c r="B87" s="33"/>
      <c r="C87" s="34"/>
      <c r="D87" s="34" t="s">
        <v>72</v>
      </c>
      <c r="E87" s="46"/>
      <c r="F87" s="53">
        <v>5100</v>
      </c>
      <c r="G87" s="215"/>
      <c r="H87" s="190"/>
      <c r="I87" s="216"/>
      <c r="J87" s="191"/>
      <c r="K87" s="54">
        <f>G87+I87</f>
        <v>0</v>
      </c>
      <c r="L87" s="54">
        <f t="shared" ref="L87:L95" si="26">H87+J87</f>
        <v>0</v>
      </c>
      <c r="M87" s="54">
        <f t="shared" ref="M87:M95" si="27">IF(K87&gt;L87,K87,L87)</f>
        <v>0</v>
      </c>
      <c r="N87" s="162">
        <f t="shared" si="17"/>
        <v>0</v>
      </c>
      <c r="O87" s="3"/>
      <c r="P87" s="3"/>
    </row>
    <row r="88" spans="1:16" x14ac:dyDescent="0.25">
      <c r="A88" s="29"/>
      <c r="B88" s="33"/>
      <c r="C88" s="34"/>
      <c r="D88" s="34" t="s">
        <v>67</v>
      </c>
      <c r="E88" s="46"/>
      <c r="F88" s="53">
        <v>5200</v>
      </c>
      <c r="G88" s="215">
        <f>55000-I88</f>
        <v>0</v>
      </c>
      <c r="H88" s="239">
        <f>23439.2-J88</f>
        <v>23439.200000000001</v>
      </c>
      <c r="I88" s="216">
        <v>55000</v>
      </c>
      <c r="J88" s="191"/>
      <c r="K88" s="54">
        <f t="shared" ref="K88:K95" si="28">G88+I88</f>
        <v>55000</v>
      </c>
      <c r="L88" s="54">
        <f t="shared" si="26"/>
        <v>23439.200000000001</v>
      </c>
      <c r="M88" s="54">
        <f t="shared" si="27"/>
        <v>55000</v>
      </c>
      <c r="N88" s="162">
        <f t="shared" si="17"/>
        <v>0</v>
      </c>
      <c r="O88" s="3"/>
      <c r="P88" s="3"/>
    </row>
    <row r="89" spans="1:16" x14ac:dyDescent="0.25">
      <c r="A89" s="29"/>
      <c r="B89" s="33"/>
      <c r="C89" s="34"/>
      <c r="D89" s="34" t="s">
        <v>68</v>
      </c>
      <c r="E89" s="46"/>
      <c r="F89" s="53">
        <v>5300</v>
      </c>
      <c r="G89" s="215">
        <f>10000-I89</f>
        <v>10000</v>
      </c>
      <c r="H89" s="190">
        <f>9133-J89</f>
        <v>9133</v>
      </c>
      <c r="I89" s="216"/>
      <c r="J89" s="191"/>
      <c r="K89" s="54">
        <f t="shared" si="28"/>
        <v>10000</v>
      </c>
      <c r="L89" s="54">
        <f t="shared" si="26"/>
        <v>9133</v>
      </c>
      <c r="M89" s="54">
        <f t="shared" si="27"/>
        <v>10000</v>
      </c>
      <c r="N89" s="162">
        <f t="shared" si="17"/>
        <v>0</v>
      </c>
      <c r="O89" s="3"/>
      <c r="P89" s="3"/>
    </row>
    <row r="90" spans="1:16" x14ac:dyDescent="0.25">
      <c r="A90" s="29"/>
      <c r="B90" s="33"/>
      <c r="C90" s="34"/>
      <c r="D90" s="34" t="s">
        <v>69</v>
      </c>
      <c r="E90" s="46"/>
      <c r="F90" s="53">
        <v>5400</v>
      </c>
      <c r="G90" s="215">
        <f>30000-I90</f>
        <v>30000</v>
      </c>
      <c r="H90" s="190">
        <f>11327.82-J90</f>
        <v>11327.82</v>
      </c>
      <c r="I90" s="216"/>
      <c r="J90" s="191"/>
      <c r="K90" s="54">
        <f t="shared" si="28"/>
        <v>30000</v>
      </c>
      <c r="L90" s="54">
        <f t="shared" si="26"/>
        <v>11327.82</v>
      </c>
      <c r="M90" s="54">
        <f t="shared" si="27"/>
        <v>30000</v>
      </c>
      <c r="N90" s="162">
        <f t="shared" si="17"/>
        <v>0</v>
      </c>
      <c r="O90" s="3"/>
      <c r="P90" s="3"/>
    </row>
    <row r="91" spans="1:16" x14ac:dyDescent="0.25">
      <c r="A91" s="29"/>
      <c r="B91" s="33"/>
      <c r="C91" s="34"/>
      <c r="D91" s="34" t="s">
        <v>70</v>
      </c>
      <c r="E91" s="46"/>
      <c r="F91" s="53">
        <v>5500</v>
      </c>
      <c r="G91" s="215">
        <f>190000-I91</f>
        <v>49500</v>
      </c>
      <c r="H91" s="239">
        <f>79111.32-J91</f>
        <v>79111.320000000007</v>
      </c>
      <c r="I91" s="216">
        <v>140500</v>
      </c>
      <c r="J91" s="191"/>
      <c r="K91" s="54">
        <f t="shared" si="28"/>
        <v>190000</v>
      </c>
      <c r="L91" s="54">
        <f t="shared" si="26"/>
        <v>79111.320000000007</v>
      </c>
      <c r="M91" s="54">
        <f t="shared" si="27"/>
        <v>190000</v>
      </c>
      <c r="N91" s="162">
        <f t="shared" si="17"/>
        <v>0</v>
      </c>
      <c r="O91" s="3"/>
      <c r="P91" s="3"/>
    </row>
    <row r="92" spans="1:16" x14ac:dyDescent="0.25">
      <c r="A92" s="29"/>
      <c r="B92" s="33"/>
      <c r="C92" s="34"/>
      <c r="D92" s="34" t="s">
        <v>173</v>
      </c>
      <c r="E92" s="46"/>
      <c r="F92" s="53">
        <v>5600</v>
      </c>
      <c r="G92" s="215">
        <f>327244.2-I92</f>
        <v>127244.20000000001</v>
      </c>
      <c r="H92" s="239">
        <f>100025.92-J92</f>
        <v>23144.520000000004</v>
      </c>
      <c r="I92" s="216">
        <v>200000</v>
      </c>
      <c r="J92" s="191">
        <v>76881.399999999994</v>
      </c>
      <c r="K92" s="54">
        <f t="shared" si="28"/>
        <v>327244.2</v>
      </c>
      <c r="L92" s="54">
        <f t="shared" si="26"/>
        <v>100025.92</v>
      </c>
      <c r="M92" s="54">
        <f t="shared" si="27"/>
        <v>327244.2</v>
      </c>
      <c r="N92" s="162">
        <f t="shared" si="17"/>
        <v>0</v>
      </c>
      <c r="O92" s="3"/>
      <c r="P92" s="3"/>
    </row>
    <row r="93" spans="1:16" x14ac:dyDescent="0.25">
      <c r="A93" s="29"/>
      <c r="B93" s="33"/>
      <c r="C93" s="34"/>
      <c r="D93" s="34" t="s">
        <v>197</v>
      </c>
      <c r="E93" s="46"/>
      <c r="F93" s="53">
        <v>5700</v>
      </c>
      <c r="G93" s="215"/>
      <c r="H93" s="190"/>
      <c r="I93" s="216"/>
      <c r="J93" s="191"/>
      <c r="K93" s="54">
        <f t="shared" si="28"/>
        <v>0</v>
      </c>
      <c r="L93" s="54">
        <f t="shared" si="26"/>
        <v>0</v>
      </c>
      <c r="M93" s="54">
        <f t="shared" si="27"/>
        <v>0</v>
      </c>
      <c r="N93" s="162">
        <f t="shared" si="17"/>
        <v>0</v>
      </c>
      <c r="O93" s="3"/>
      <c r="P93" s="3"/>
    </row>
    <row r="94" spans="1:16" x14ac:dyDescent="0.25">
      <c r="A94" s="29"/>
      <c r="B94" s="33"/>
      <c r="C94" s="34"/>
      <c r="D94" s="34" t="s">
        <v>198</v>
      </c>
      <c r="E94" s="46"/>
      <c r="F94" s="53">
        <v>5800</v>
      </c>
      <c r="G94" s="215">
        <f>827988.53+62131-I94</f>
        <v>640119.53</v>
      </c>
      <c r="H94" s="239">
        <f>184016.61+62131.38-J94</f>
        <v>173939.31</v>
      </c>
      <c r="I94" s="216">
        <v>250000</v>
      </c>
      <c r="J94" s="242">
        <v>72208.679999999993</v>
      </c>
      <c r="K94" s="54">
        <f t="shared" si="28"/>
        <v>890119.53</v>
      </c>
      <c r="L94" s="54">
        <f t="shared" si="26"/>
        <v>246147.99</v>
      </c>
      <c r="M94" s="54">
        <f t="shared" si="27"/>
        <v>890119.53</v>
      </c>
      <c r="N94" s="162">
        <f t="shared" si="17"/>
        <v>0</v>
      </c>
      <c r="O94" s="3"/>
      <c r="P94" s="3"/>
    </row>
    <row r="95" spans="1:16" x14ac:dyDescent="0.25">
      <c r="A95" s="29"/>
      <c r="B95" s="33"/>
      <c r="C95" s="34"/>
      <c r="D95" s="34" t="s">
        <v>71</v>
      </c>
      <c r="E95" s="46"/>
      <c r="F95" s="53">
        <v>5900</v>
      </c>
      <c r="G95" s="215">
        <f>55000-I95</f>
        <v>55000</v>
      </c>
      <c r="H95" s="239">
        <f>20545.4-J95</f>
        <v>20545.400000000001</v>
      </c>
      <c r="I95" s="216"/>
      <c r="J95" s="191"/>
      <c r="K95" s="54">
        <f t="shared" si="28"/>
        <v>55000</v>
      </c>
      <c r="L95" s="54">
        <f t="shared" si="26"/>
        <v>20545.400000000001</v>
      </c>
      <c r="M95" s="54">
        <f t="shared" si="27"/>
        <v>55000</v>
      </c>
      <c r="N95" s="162">
        <f t="shared" si="17"/>
        <v>0</v>
      </c>
      <c r="O95" s="3"/>
      <c r="P95" s="3"/>
    </row>
    <row r="96" spans="1:16" x14ac:dyDescent="0.25">
      <c r="A96" s="29"/>
      <c r="B96" s="33"/>
      <c r="C96" s="34" t="s">
        <v>20</v>
      </c>
      <c r="D96" s="34"/>
      <c r="E96" s="46"/>
      <c r="F96" s="57"/>
      <c r="G96" s="58">
        <f t="shared" ref="G96:M96" si="29">SUM(G86:G95)</f>
        <v>911863.73</v>
      </c>
      <c r="H96" s="67">
        <f t="shared" si="29"/>
        <v>340640.57000000007</v>
      </c>
      <c r="I96" s="67">
        <f t="shared" si="29"/>
        <v>645500</v>
      </c>
      <c r="J96" s="106">
        <f t="shared" si="29"/>
        <v>149090.07999999999</v>
      </c>
      <c r="K96" s="59">
        <f t="shared" si="29"/>
        <v>1557363.73</v>
      </c>
      <c r="L96" s="59">
        <f t="shared" si="29"/>
        <v>489730.65</v>
      </c>
      <c r="M96" s="59">
        <f t="shared" si="29"/>
        <v>1557363.73</v>
      </c>
      <c r="N96" s="164">
        <f t="shared" si="17"/>
        <v>0</v>
      </c>
      <c r="O96" s="3">
        <f>+G96+I96-K96</f>
        <v>0</v>
      </c>
      <c r="P96" s="5">
        <f>+H96+J96-L96</f>
        <v>0</v>
      </c>
    </row>
    <row r="97" spans="1:16" x14ac:dyDescent="0.25">
      <c r="A97" s="29"/>
      <c r="B97" s="61"/>
      <c r="C97" s="62" t="s">
        <v>76</v>
      </c>
      <c r="D97" s="62"/>
      <c r="E97" s="47"/>
      <c r="F97" s="53"/>
      <c r="G97" s="54"/>
      <c r="H97" s="64"/>
      <c r="I97" s="64"/>
      <c r="J97" s="75"/>
      <c r="K97" s="68"/>
      <c r="L97" s="54"/>
      <c r="M97" s="54"/>
      <c r="N97" s="162">
        <f t="shared" si="17"/>
        <v>0</v>
      </c>
      <c r="O97" s="3"/>
      <c r="P97" s="3"/>
    </row>
    <row r="98" spans="1:16" x14ac:dyDescent="0.25">
      <c r="A98" s="29"/>
      <c r="B98" s="33"/>
      <c r="C98" s="34"/>
      <c r="D98" s="34" t="s">
        <v>129</v>
      </c>
      <c r="E98" s="46"/>
      <c r="F98" s="53">
        <v>6900</v>
      </c>
      <c r="G98" s="215">
        <v>59016.72</v>
      </c>
      <c r="H98" s="190">
        <f>22910.34-J98</f>
        <v>22910.34</v>
      </c>
      <c r="I98" s="216"/>
      <c r="J98" s="191"/>
      <c r="K98" s="54">
        <f t="shared" ref="K98" si="30">G98+I98</f>
        <v>59016.72</v>
      </c>
      <c r="L98" s="54">
        <f t="shared" ref="L98" si="31">H98+J98</f>
        <v>22910.34</v>
      </c>
      <c r="M98" s="54">
        <f t="shared" ref="M98" si="32">IF(K98&gt;L98,K98,L98)</f>
        <v>59016.72</v>
      </c>
      <c r="N98" s="162">
        <f t="shared" si="17"/>
        <v>0</v>
      </c>
      <c r="O98" s="3"/>
      <c r="P98" s="3"/>
    </row>
    <row r="99" spans="1:16" x14ac:dyDescent="0.25">
      <c r="A99" s="29"/>
      <c r="B99" s="33"/>
      <c r="C99" s="34" t="s">
        <v>21</v>
      </c>
      <c r="D99" s="34"/>
      <c r="E99" s="46"/>
      <c r="F99" s="57"/>
      <c r="G99" s="58">
        <f>SUM(G98:G98)</f>
        <v>59016.72</v>
      </c>
      <c r="H99" s="67">
        <f t="shared" ref="H99:M99" si="33">SUM(H98:H98)</f>
        <v>22910.34</v>
      </c>
      <c r="I99" s="67">
        <f t="shared" si="33"/>
        <v>0</v>
      </c>
      <c r="J99" s="106">
        <f t="shared" si="33"/>
        <v>0</v>
      </c>
      <c r="K99" s="59">
        <f t="shared" si="33"/>
        <v>59016.72</v>
      </c>
      <c r="L99" s="59">
        <f t="shared" si="33"/>
        <v>22910.34</v>
      </c>
      <c r="M99" s="59">
        <f t="shared" si="33"/>
        <v>59016.72</v>
      </c>
      <c r="N99" s="164">
        <f t="shared" si="17"/>
        <v>0</v>
      </c>
      <c r="O99" s="3">
        <f>+G99+I99-K99</f>
        <v>0</v>
      </c>
      <c r="P99" s="5">
        <f>+H99+J99-L99</f>
        <v>0</v>
      </c>
    </row>
    <row r="100" spans="1:16" x14ac:dyDescent="0.25">
      <c r="A100" s="29"/>
      <c r="B100" s="61"/>
      <c r="C100" s="62" t="s">
        <v>22</v>
      </c>
      <c r="D100" s="62"/>
      <c r="E100" s="47"/>
      <c r="F100" s="74"/>
      <c r="G100" s="64"/>
      <c r="H100" s="64"/>
      <c r="I100" s="64"/>
      <c r="J100" s="75"/>
      <c r="K100" s="68"/>
      <c r="L100" s="54"/>
      <c r="M100" s="64"/>
      <c r="N100" s="166">
        <f t="shared" si="17"/>
        <v>0</v>
      </c>
      <c r="O100" s="3"/>
      <c r="P100" s="3"/>
    </row>
    <row r="101" spans="1:16" x14ac:dyDescent="0.25">
      <c r="A101" s="29"/>
      <c r="B101" s="33"/>
      <c r="C101" s="34"/>
      <c r="D101" s="34" t="s">
        <v>199</v>
      </c>
      <c r="E101" s="46"/>
      <c r="F101" s="53" t="s">
        <v>23</v>
      </c>
      <c r="G101" s="214"/>
      <c r="H101" s="188"/>
      <c r="I101" s="214"/>
      <c r="J101" s="189"/>
      <c r="K101" s="54">
        <f t="shared" ref="K101:L107" si="34">G101+I101</f>
        <v>0</v>
      </c>
      <c r="L101" s="54">
        <f t="shared" si="34"/>
        <v>0</v>
      </c>
      <c r="M101" s="54">
        <f t="shared" ref="M101:M107" si="35">IF(K101&gt;L101,K101,L101)</f>
        <v>0</v>
      </c>
      <c r="N101" s="162">
        <f t="shared" si="17"/>
        <v>0</v>
      </c>
      <c r="O101" s="3"/>
      <c r="P101" s="3"/>
    </row>
    <row r="102" spans="1:16" x14ac:dyDescent="0.25">
      <c r="A102" s="29"/>
      <c r="B102" s="33"/>
      <c r="C102" s="34"/>
      <c r="D102" s="34" t="s">
        <v>174</v>
      </c>
      <c r="E102" s="46"/>
      <c r="F102" s="53" t="s">
        <v>24</v>
      </c>
      <c r="G102" s="214"/>
      <c r="H102" s="188"/>
      <c r="I102" s="213"/>
      <c r="J102" s="189"/>
      <c r="K102" s="54">
        <f t="shared" si="34"/>
        <v>0</v>
      </c>
      <c r="L102" s="54">
        <f t="shared" si="34"/>
        <v>0</v>
      </c>
      <c r="M102" s="54">
        <f t="shared" si="35"/>
        <v>0</v>
      </c>
      <c r="N102" s="162">
        <f t="shared" si="17"/>
        <v>0</v>
      </c>
      <c r="O102" s="3"/>
      <c r="P102" s="3"/>
    </row>
    <row r="103" spans="1:16" x14ac:dyDescent="0.25">
      <c r="A103" s="29"/>
      <c r="B103" s="33"/>
      <c r="C103" s="34"/>
      <c r="D103" s="34" t="s">
        <v>73</v>
      </c>
      <c r="E103" s="46"/>
      <c r="F103" s="53" t="s">
        <v>25</v>
      </c>
      <c r="G103" s="214"/>
      <c r="H103" s="188"/>
      <c r="I103" s="213"/>
      <c r="J103" s="189"/>
      <c r="K103" s="54">
        <f t="shared" si="34"/>
        <v>0</v>
      </c>
      <c r="L103" s="54">
        <f t="shared" si="34"/>
        <v>0</v>
      </c>
      <c r="M103" s="54">
        <f t="shared" si="35"/>
        <v>0</v>
      </c>
      <c r="N103" s="162">
        <f t="shared" si="17"/>
        <v>0</v>
      </c>
      <c r="O103" s="3"/>
      <c r="P103" s="3"/>
    </row>
    <row r="104" spans="1:16" x14ac:dyDescent="0.25">
      <c r="A104" s="29"/>
      <c r="B104" s="33"/>
      <c r="C104" s="34"/>
      <c r="D104" s="34" t="s">
        <v>26</v>
      </c>
      <c r="E104" s="46"/>
      <c r="F104" s="53" t="s">
        <v>27</v>
      </c>
      <c r="G104" s="214"/>
      <c r="H104" s="188"/>
      <c r="I104" s="213"/>
      <c r="J104" s="189"/>
      <c r="K104" s="54">
        <f t="shared" si="34"/>
        <v>0</v>
      </c>
      <c r="L104" s="54">
        <f t="shared" si="34"/>
        <v>0</v>
      </c>
      <c r="M104" s="54">
        <f t="shared" si="35"/>
        <v>0</v>
      </c>
      <c r="N104" s="162">
        <f t="shared" si="17"/>
        <v>0</v>
      </c>
      <c r="O104" s="3"/>
      <c r="P104" s="3"/>
    </row>
    <row r="105" spans="1:16" x14ac:dyDescent="0.25">
      <c r="A105" s="29"/>
      <c r="B105" s="33"/>
      <c r="C105" s="34"/>
      <c r="D105" s="34" t="s">
        <v>200</v>
      </c>
      <c r="E105" s="46"/>
      <c r="F105" s="53" t="s">
        <v>183</v>
      </c>
      <c r="G105" s="214"/>
      <c r="H105" s="188"/>
      <c r="I105" s="213"/>
      <c r="J105" s="189"/>
      <c r="K105" s="54">
        <f t="shared" si="34"/>
        <v>0</v>
      </c>
      <c r="L105" s="54">
        <f t="shared" si="34"/>
        <v>0</v>
      </c>
      <c r="M105" s="54">
        <f>IF(K105&gt;L105,K105,L105)</f>
        <v>0</v>
      </c>
      <c r="N105" s="162">
        <f t="shared" si="17"/>
        <v>0</v>
      </c>
      <c r="O105" s="3"/>
      <c r="P105" s="3"/>
    </row>
    <row r="106" spans="1:16" x14ac:dyDescent="0.25">
      <c r="A106" s="29"/>
      <c r="B106" s="33"/>
      <c r="C106" s="34"/>
      <c r="D106" s="34" t="s">
        <v>101</v>
      </c>
      <c r="E106" s="46"/>
      <c r="F106" s="53" t="s">
        <v>184</v>
      </c>
      <c r="G106" s="214">
        <v>4504</v>
      </c>
      <c r="H106" s="188"/>
      <c r="I106" s="213"/>
      <c r="J106" s="189"/>
      <c r="K106" s="54">
        <f t="shared" si="34"/>
        <v>4504</v>
      </c>
      <c r="L106" s="54">
        <f t="shared" si="34"/>
        <v>0</v>
      </c>
      <c r="M106" s="54">
        <f t="shared" si="35"/>
        <v>4504</v>
      </c>
      <c r="N106" s="162">
        <f t="shared" si="17"/>
        <v>0</v>
      </c>
      <c r="O106" s="3"/>
      <c r="P106" s="3"/>
    </row>
    <row r="107" spans="1:16" x14ac:dyDescent="0.25">
      <c r="A107" s="29"/>
      <c r="B107" s="33"/>
      <c r="C107" s="34"/>
      <c r="D107" s="34" t="s">
        <v>75</v>
      </c>
      <c r="E107" s="46"/>
      <c r="F107" s="53">
        <v>7439</v>
      </c>
      <c r="G107" s="214"/>
      <c r="H107" s="192"/>
      <c r="I107" s="214"/>
      <c r="J107" s="193"/>
      <c r="K107" s="54">
        <f t="shared" si="34"/>
        <v>0</v>
      </c>
      <c r="L107" s="54">
        <f t="shared" si="34"/>
        <v>0</v>
      </c>
      <c r="M107" s="54">
        <f t="shared" si="35"/>
        <v>0</v>
      </c>
      <c r="N107" s="162">
        <f t="shared" si="17"/>
        <v>0</v>
      </c>
      <c r="O107" s="3"/>
      <c r="P107" s="3"/>
    </row>
    <row r="108" spans="1:16" x14ac:dyDescent="0.25">
      <c r="A108" s="29"/>
      <c r="B108" s="33"/>
      <c r="C108" s="34" t="s">
        <v>28</v>
      </c>
      <c r="D108" s="34"/>
      <c r="E108" s="46"/>
      <c r="F108" s="57"/>
      <c r="G108" s="58">
        <f t="shared" ref="G108:M108" si="36">SUM(G101:G107)</f>
        <v>4504</v>
      </c>
      <c r="H108" s="67">
        <f t="shared" si="36"/>
        <v>0</v>
      </c>
      <c r="I108" s="67">
        <f t="shared" si="36"/>
        <v>0</v>
      </c>
      <c r="J108" s="106">
        <f t="shared" si="36"/>
        <v>0</v>
      </c>
      <c r="K108" s="58">
        <f t="shared" si="36"/>
        <v>4504</v>
      </c>
      <c r="L108" s="58">
        <f t="shared" si="36"/>
        <v>0</v>
      </c>
      <c r="M108" s="59">
        <f t="shared" si="36"/>
        <v>4504</v>
      </c>
      <c r="N108" s="164">
        <f t="shared" si="17"/>
        <v>0</v>
      </c>
      <c r="O108" s="3">
        <f>+G108+I108-K108</f>
        <v>0</v>
      </c>
      <c r="P108" s="5">
        <f>+H108+J108-L108</f>
        <v>0</v>
      </c>
    </row>
    <row r="109" spans="1:16" ht="10.5" customHeight="1" x14ac:dyDescent="0.25">
      <c r="A109" s="29"/>
      <c r="B109" s="61"/>
      <c r="C109" s="62"/>
      <c r="D109" s="62"/>
      <c r="E109" s="47"/>
      <c r="F109" s="53"/>
      <c r="G109" s="64"/>
      <c r="H109" s="64"/>
      <c r="I109" s="64"/>
      <c r="J109" s="75"/>
      <c r="K109" s="54"/>
      <c r="L109" s="54"/>
      <c r="M109" s="54"/>
      <c r="N109" s="162"/>
      <c r="O109" s="3"/>
      <c r="P109" s="3"/>
    </row>
    <row r="110" spans="1:16" x14ac:dyDescent="0.25">
      <c r="A110" s="32"/>
      <c r="B110" s="43"/>
      <c r="C110" s="69" t="s">
        <v>29</v>
      </c>
      <c r="D110" s="69"/>
      <c r="E110" s="70"/>
      <c r="F110" s="77"/>
      <c r="G110" s="72">
        <f t="shared" ref="G110:N110" si="37">+G60+G67+G78+G85+G96+G99+G108</f>
        <v>5201682.3040770004</v>
      </c>
      <c r="H110" s="72">
        <f t="shared" si="37"/>
        <v>1980015.55</v>
      </c>
      <c r="I110" s="72">
        <f t="shared" si="37"/>
        <v>2980500</v>
      </c>
      <c r="J110" s="78">
        <f t="shared" si="37"/>
        <v>590068.38</v>
      </c>
      <c r="K110" s="72">
        <f t="shared" si="37"/>
        <v>8182182.3040770004</v>
      </c>
      <c r="L110" s="78">
        <f t="shared" si="37"/>
        <v>2570083.9299999997</v>
      </c>
      <c r="M110" s="72">
        <f t="shared" si="37"/>
        <v>8182182.3040770004</v>
      </c>
      <c r="N110" s="165">
        <f t="shared" si="37"/>
        <v>0</v>
      </c>
      <c r="O110" s="3">
        <f>+G110+I110-K110</f>
        <v>0</v>
      </c>
      <c r="P110" s="22">
        <f>+H110+J110-L110</f>
        <v>0</v>
      </c>
    </row>
    <row r="111" spans="1:16" x14ac:dyDescent="0.25">
      <c r="A111" s="29"/>
      <c r="B111" s="61" t="s">
        <v>30</v>
      </c>
      <c r="C111" s="62"/>
      <c r="D111" s="62"/>
      <c r="E111" s="47"/>
      <c r="F111" s="53"/>
      <c r="G111" s="54"/>
      <c r="H111" s="54"/>
      <c r="I111" s="64"/>
      <c r="J111" s="65"/>
      <c r="K111" s="68"/>
      <c r="L111" s="54"/>
      <c r="M111" s="54"/>
      <c r="N111" s="167"/>
      <c r="O111" s="3"/>
      <c r="P111" s="3"/>
    </row>
    <row r="112" spans="1:16" x14ac:dyDescent="0.25">
      <c r="A112" s="29"/>
      <c r="B112" s="33"/>
      <c r="C112" s="34" t="s">
        <v>31</v>
      </c>
      <c r="D112" s="34"/>
      <c r="E112" s="46"/>
      <c r="F112" s="57"/>
      <c r="G112" s="59">
        <f t="shared" ref="G112:M112" si="38">+G53-G110</f>
        <v>-182557.94407700095</v>
      </c>
      <c r="H112" s="54">
        <f t="shared" si="38"/>
        <v>-532481.15000000014</v>
      </c>
      <c r="I112" s="54">
        <f t="shared" si="38"/>
        <v>38874.200000000186</v>
      </c>
      <c r="J112" s="65">
        <f t="shared" si="38"/>
        <v>-417768.33</v>
      </c>
      <c r="K112" s="59">
        <f t="shared" si="38"/>
        <v>-143683.74407700077</v>
      </c>
      <c r="L112" s="59">
        <f t="shared" si="38"/>
        <v>-950249.47999999975</v>
      </c>
      <c r="M112" s="59">
        <f t="shared" si="38"/>
        <v>-143683.74407700077</v>
      </c>
      <c r="N112" s="167"/>
      <c r="O112" s="3">
        <f>+G112+I112-K112</f>
        <v>0</v>
      </c>
      <c r="P112" s="5">
        <f>+H112+J112-L112</f>
        <v>0</v>
      </c>
    </row>
    <row r="113" spans="1:16" ht="9" customHeight="1" x14ac:dyDescent="0.25">
      <c r="A113" s="29"/>
      <c r="B113" s="61"/>
      <c r="C113" s="62"/>
      <c r="D113" s="62"/>
      <c r="E113" s="47"/>
      <c r="F113" s="53"/>
      <c r="G113" s="64"/>
      <c r="H113" s="64"/>
      <c r="I113" s="64"/>
      <c r="J113" s="75"/>
      <c r="K113" s="68"/>
      <c r="L113" s="54"/>
      <c r="M113" s="54"/>
      <c r="N113" s="167"/>
      <c r="O113" s="3"/>
      <c r="P113" s="3"/>
    </row>
    <row r="114" spans="1:16" x14ac:dyDescent="0.25">
      <c r="A114" s="29"/>
      <c r="B114" s="33" t="s">
        <v>99</v>
      </c>
      <c r="C114" s="34"/>
      <c r="D114" s="34"/>
      <c r="E114" s="46"/>
      <c r="F114" s="53"/>
      <c r="G114" s="54"/>
      <c r="H114" s="54"/>
      <c r="I114" s="54"/>
      <c r="J114" s="65"/>
      <c r="K114" s="54"/>
      <c r="L114" s="54"/>
      <c r="M114" s="54"/>
      <c r="N114" s="167"/>
      <c r="O114" s="3"/>
      <c r="P114" s="3"/>
    </row>
    <row r="115" spans="1:16" x14ac:dyDescent="0.25">
      <c r="A115" s="29"/>
      <c r="B115" s="33"/>
      <c r="C115" s="34" t="s">
        <v>84</v>
      </c>
      <c r="D115" s="34"/>
      <c r="E115" s="46"/>
      <c r="F115" s="53" t="s">
        <v>32</v>
      </c>
      <c r="G115" s="214"/>
      <c r="H115" s="188"/>
      <c r="I115" s="213"/>
      <c r="J115" s="189"/>
      <c r="K115" s="54">
        <f t="shared" ref="K115" si="39">G115+I115</f>
        <v>0</v>
      </c>
      <c r="L115" s="54">
        <f t="shared" ref="K115:L117" si="40">H115+J115</f>
        <v>0</v>
      </c>
      <c r="M115" s="54">
        <f>IF(K115&gt;L115,K115,L115)</f>
        <v>0</v>
      </c>
      <c r="N115" s="167"/>
      <c r="O115" s="3"/>
      <c r="P115" s="3"/>
    </row>
    <row r="116" spans="1:16" x14ac:dyDescent="0.25">
      <c r="A116" s="29"/>
      <c r="B116" s="33"/>
      <c r="C116" s="34" t="s">
        <v>33</v>
      </c>
      <c r="D116" s="34"/>
      <c r="E116" s="46"/>
      <c r="F116" s="53" t="s">
        <v>34</v>
      </c>
      <c r="G116" s="214">
        <v>38874</v>
      </c>
      <c r="H116" s="188">
        <v>-417768</v>
      </c>
      <c r="I116" s="213">
        <v>-38874</v>
      </c>
      <c r="J116" s="189">
        <v>417768</v>
      </c>
      <c r="K116" s="54">
        <f t="shared" si="40"/>
        <v>0</v>
      </c>
      <c r="L116" s="54">
        <f t="shared" si="40"/>
        <v>0</v>
      </c>
      <c r="M116" s="54">
        <f>IF(K116&gt;L116,K116,L116)</f>
        <v>0</v>
      </c>
      <c r="N116" s="167"/>
      <c r="O116" s="3"/>
      <c r="P116" s="3"/>
    </row>
    <row r="117" spans="1:16" x14ac:dyDescent="0.25">
      <c r="A117" s="29"/>
      <c r="B117" s="29"/>
      <c r="C117" s="34" t="s">
        <v>201</v>
      </c>
      <c r="D117" s="34"/>
      <c r="E117" s="46"/>
      <c r="F117" s="53" t="s">
        <v>35</v>
      </c>
      <c r="G117" s="215"/>
      <c r="H117" s="190"/>
      <c r="I117" s="216"/>
      <c r="J117" s="190"/>
      <c r="K117" s="54">
        <f t="shared" ref="K117" si="41">G117+I117</f>
        <v>0</v>
      </c>
      <c r="L117" s="143">
        <f t="shared" si="40"/>
        <v>0</v>
      </c>
      <c r="M117" s="143">
        <f>IF(K117&gt;L117,K117,L117)</f>
        <v>0</v>
      </c>
      <c r="N117" s="168"/>
      <c r="O117" s="3"/>
      <c r="P117" s="3"/>
    </row>
    <row r="118" spans="1:16" x14ac:dyDescent="0.25">
      <c r="A118" s="29"/>
      <c r="B118" s="33"/>
      <c r="C118" s="34"/>
      <c r="D118" s="79" t="s">
        <v>105</v>
      </c>
      <c r="E118" s="80"/>
      <c r="F118" s="53"/>
      <c r="G118" s="54"/>
      <c r="H118" s="54"/>
      <c r="I118" s="54"/>
      <c r="J118" s="65"/>
      <c r="K118" s="54"/>
      <c r="L118" s="54"/>
      <c r="M118" s="54"/>
      <c r="N118" s="167"/>
      <c r="O118" s="3"/>
      <c r="P118" s="3"/>
    </row>
    <row r="119" spans="1:16" x14ac:dyDescent="0.25">
      <c r="A119" s="29"/>
      <c r="B119" s="33"/>
      <c r="C119" s="34" t="s">
        <v>85</v>
      </c>
      <c r="D119" s="34"/>
      <c r="E119" s="46"/>
      <c r="F119" s="57"/>
      <c r="G119" s="59">
        <f t="shared" ref="G119:M119" si="42">SUM(G115:G118)</f>
        <v>38874</v>
      </c>
      <c r="H119" s="54">
        <f t="shared" si="42"/>
        <v>-417768</v>
      </c>
      <c r="I119" s="54">
        <f t="shared" si="42"/>
        <v>-38874</v>
      </c>
      <c r="J119" s="65">
        <f t="shared" si="42"/>
        <v>417768</v>
      </c>
      <c r="K119" s="59">
        <f>SUM(K115:K118)</f>
        <v>0</v>
      </c>
      <c r="L119" s="59">
        <f>SUM(L115:L118)</f>
        <v>0</v>
      </c>
      <c r="M119" s="59">
        <f t="shared" si="42"/>
        <v>0</v>
      </c>
      <c r="N119" s="167"/>
      <c r="O119" s="3">
        <f>+G119+I119-K119</f>
        <v>0</v>
      </c>
      <c r="P119" s="5">
        <f>+H119+J119-L119</f>
        <v>0</v>
      </c>
    </row>
    <row r="120" spans="1:16" ht="9" customHeight="1" x14ac:dyDescent="0.25">
      <c r="A120" s="29"/>
      <c r="B120" s="61"/>
      <c r="C120" s="62"/>
      <c r="D120" s="62"/>
      <c r="E120" s="47"/>
      <c r="F120" s="53"/>
      <c r="G120" s="54"/>
      <c r="H120" s="64"/>
      <c r="I120" s="64"/>
      <c r="J120" s="75"/>
      <c r="K120" s="81"/>
      <c r="L120" s="54"/>
      <c r="M120" s="54"/>
      <c r="N120" s="167"/>
      <c r="O120" s="3"/>
      <c r="P120" s="3"/>
    </row>
    <row r="121" spans="1:16" x14ac:dyDescent="0.25">
      <c r="A121" s="29"/>
      <c r="B121" s="163" t="s">
        <v>202</v>
      </c>
      <c r="C121" s="45"/>
      <c r="D121" s="45"/>
      <c r="E121" s="56"/>
      <c r="F121" s="57"/>
      <c r="G121" s="59">
        <f t="shared" ref="G121:L121" si="43">+G112+G119</f>
        <v>-143683.94407700095</v>
      </c>
      <c r="H121" s="59">
        <f t="shared" si="43"/>
        <v>-950249.15000000014</v>
      </c>
      <c r="I121" s="59">
        <f t="shared" si="43"/>
        <v>0.20000000018626451</v>
      </c>
      <c r="J121" s="60">
        <f t="shared" si="43"/>
        <v>-0.33000000001629815</v>
      </c>
      <c r="K121" s="59">
        <f t="shared" si="43"/>
        <v>-143683.74407700077</v>
      </c>
      <c r="L121" s="59">
        <f t="shared" si="43"/>
        <v>-950249.47999999975</v>
      </c>
      <c r="M121" s="59">
        <f>+M112+M119</f>
        <v>-143683.74407700077</v>
      </c>
      <c r="N121" s="167"/>
      <c r="O121" s="3">
        <f>+G121+I121-K121</f>
        <v>0</v>
      </c>
      <c r="P121" s="5">
        <f>+H121+J121-L121</f>
        <v>0</v>
      </c>
    </row>
    <row r="122" spans="1:16" ht="9" customHeight="1" x14ac:dyDescent="0.25">
      <c r="A122" s="29"/>
      <c r="B122" s="33"/>
      <c r="C122" s="34"/>
      <c r="D122" s="34"/>
      <c r="E122" s="46"/>
      <c r="F122" s="63"/>
      <c r="G122" s="54"/>
      <c r="H122" s="54"/>
      <c r="I122" s="64"/>
      <c r="J122" s="65"/>
      <c r="K122" s="68"/>
      <c r="L122" s="54"/>
      <c r="M122" s="54"/>
      <c r="N122" s="167"/>
      <c r="O122" s="3"/>
      <c r="P122" s="3"/>
    </row>
    <row r="123" spans="1:16" x14ac:dyDescent="0.25">
      <c r="A123" s="29"/>
      <c r="B123" s="33" t="s">
        <v>204</v>
      </c>
      <c r="C123" s="34"/>
      <c r="D123" s="34"/>
      <c r="E123" s="46"/>
      <c r="F123" s="63"/>
      <c r="G123" s="54"/>
      <c r="H123" s="54"/>
      <c r="I123" s="54"/>
      <c r="J123" s="65"/>
      <c r="K123" s="54"/>
      <c r="L123" s="54"/>
      <c r="M123" s="54"/>
      <c r="N123" s="167"/>
      <c r="O123" s="3"/>
      <c r="P123" s="3"/>
    </row>
    <row r="124" spans="1:16" x14ac:dyDescent="0.25">
      <c r="A124" s="29"/>
      <c r="B124" s="33"/>
      <c r="C124" s="34" t="s">
        <v>86</v>
      </c>
      <c r="D124" s="34"/>
      <c r="E124" s="46"/>
      <c r="F124" s="63"/>
      <c r="G124" s="54"/>
      <c r="H124" s="54"/>
      <c r="I124" s="54"/>
      <c r="J124" s="65"/>
      <c r="K124" s="54"/>
      <c r="L124" s="54"/>
      <c r="M124" s="54"/>
      <c r="N124" s="167"/>
      <c r="O124" s="3"/>
      <c r="P124" s="3"/>
    </row>
    <row r="125" spans="1:16" x14ac:dyDescent="0.25">
      <c r="A125" s="29"/>
      <c r="B125" s="33"/>
      <c r="C125" s="34"/>
      <c r="D125" s="34" t="s">
        <v>205</v>
      </c>
      <c r="E125" s="46"/>
      <c r="F125" s="63">
        <v>9791</v>
      </c>
      <c r="G125" s="214">
        <v>2499123.5299999998</v>
      </c>
      <c r="H125" s="188">
        <v>2499123.5299999998</v>
      </c>
      <c r="I125" s="214"/>
      <c r="J125" s="189"/>
      <c r="K125" s="54">
        <f t="shared" ref="K125:L126" si="44">G125+I125</f>
        <v>2499123.5299999998</v>
      </c>
      <c r="L125" s="54">
        <f t="shared" si="44"/>
        <v>2499123.5299999998</v>
      </c>
      <c r="M125" s="54">
        <f>IF(K125&gt;L125,K125,L125)</f>
        <v>2499123.5299999998</v>
      </c>
      <c r="N125" s="167"/>
      <c r="O125" s="3"/>
      <c r="P125" s="3"/>
    </row>
    <row r="126" spans="1:16" x14ac:dyDescent="0.25">
      <c r="A126" s="29"/>
      <c r="B126" s="33"/>
      <c r="C126" s="34"/>
      <c r="D126" s="34" t="s">
        <v>88</v>
      </c>
      <c r="E126" s="46"/>
      <c r="F126" s="101" t="s">
        <v>36</v>
      </c>
      <c r="G126" s="217">
        <f>H126</f>
        <v>0</v>
      </c>
      <c r="H126" s="188"/>
      <c r="I126" s="218">
        <f>J126</f>
        <v>0</v>
      </c>
      <c r="J126" s="189"/>
      <c r="K126" s="54">
        <f t="shared" si="44"/>
        <v>0</v>
      </c>
      <c r="L126" s="54">
        <f t="shared" si="44"/>
        <v>0</v>
      </c>
      <c r="M126" s="54">
        <f>IF(K126&gt;L126,K126,L126)</f>
        <v>0</v>
      </c>
      <c r="N126" s="167"/>
      <c r="O126" s="3"/>
      <c r="P126" s="3"/>
    </row>
    <row r="127" spans="1:16" ht="15.75" thickBot="1" x14ac:dyDescent="0.3">
      <c r="A127" s="29"/>
      <c r="B127" s="169"/>
      <c r="C127" s="102"/>
      <c r="D127" s="102" t="s">
        <v>87</v>
      </c>
      <c r="E127" s="103"/>
      <c r="F127" s="104"/>
      <c r="G127" s="108">
        <f t="shared" ref="G127:J127" si="45">SUM(G122:G126)</f>
        <v>2499123.5299999998</v>
      </c>
      <c r="H127" s="109">
        <f t="shared" si="45"/>
        <v>2499123.5299999998</v>
      </c>
      <c r="I127" s="109">
        <f t="shared" si="45"/>
        <v>0</v>
      </c>
      <c r="J127" s="110">
        <f t="shared" si="45"/>
        <v>0</v>
      </c>
      <c r="K127" s="109">
        <f t="shared" ref="K127:L127" si="46">SUM(K123:K126)</f>
        <v>2499123.5299999998</v>
      </c>
      <c r="L127" s="109">
        <f t="shared" si="46"/>
        <v>2499123.5299999998</v>
      </c>
      <c r="M127" s="109">
        <f>SUM(M124:M126)</f>
        <v>2499123.5299999998</v>
      </c>
      <c r="N127" s="167"/>
      <c r="O127" s="3">
        <f>+G127+I127-K127</f>
        <v>0</v>
      </c>
      <c r="P127" s="5">
        <f>+H127+J127-L127</f>
        <v>0</v>
      </c>
    </row>
    <row r="128" spans="1:16" ht="15.75" thickBot="1" x14ac:dyDescent="0.3">
      <c r="A128" s="32"/>
      <c r="B128" s="203"/>
      <c r="C128" s="204" t="s">
        <v>140</v>
      </c>
      <c r="D128" s="197"/>
      <c r="E128" s="198"/>
      <c r="F128" s="199" t="s">
        <v>223</v>
      </c>
      <c r="G128" s="200">
        <f t="shared" ref="G128:L128" si="47">+G127+G121</f>
        <v>2355439.5859229988</v>
      </c>
      <c r="H128" s="200">
        <f t="shared" si="47"/>
        <v>1548874.3799999997</v>
      </c>
      <c r="I128" s="200">
        <f t="shared" si="47"/>
        <v>0.20000000018626451</v>
      </c>
      <c r="J128" s="201">
        <f t="shared" si="47"/>
        <v>-0.33000000001629815</v>
      </c>
      <c r="K128" s="200">
        <f t="shared" si="47"/>
        <v>2355439.785922999</v>
      </c>
      <c r="L128" s="201">
        <f t="shared" si="47"/>
        <v>1548874.05</v>
      </c>
      <c r="M128" s="202">
        <f>+M121+M127</f>
        <v>2355439.785922999</v>
      </c>
      <c r="N128" s="167"/>
      <c r="O128" s="3">
        <f>+G128+I128-K128</f>
        <v>0</v>
      </c>
      <c r="P128" s="5">
        <f>+H128+J128-L128</f>
        <v>0</v>
      </c>
    </row>
    <row r="129" spans="1:16" ht="7.5" customHeight="1" x14ac:dyDescent="0.25">
      <c r="A129" s="29"/>
      <c r="B129" s="61"/>
      <c r="C129" s="62"/>
      <c r="D129" s="62"/>
      <c r="E129" s="47"/>
      <c r="F129" s="74"/>
      <c r="G129" s="111"/>
      <c r="H129" s="64"/>
      <c r="I129" s="111"/>
      <c r="J129" s="75"/>
      <c r="K129" s="111"/>
      <c r="L129" s="64"/>
      <c r="M129" s="105"/>
      <c r="N129" s="170"/>
      <c r="O129" s="3"/>
      <c r="P129" s="3"/>
    </row>
    <row r="130" spans="1:16" x14ac:dyDescent="0.25">
      <c r="A130" s="29"/>
      <c r="B130" s="33"/>
      <c r="C130" s="34" t="s">
        <v>100</v>
      </c>
      <c r="D130" s="34"/>
      <c r="E130" s="46"/>
      <c r="F130" s="53"/>
      <c r="G130" s="105"/>
      <c r="H130" s="54"/>
      <c r="I130" s="105"/>
      <c r="J130" s="65"/>
      <c r="K130" s="105"/>
      <c r="L130" s="54"/>
      <c r="M130" s="105"/>
      <c r="N130" s="167"/>
      <c r="O130" s="3"/>
      <c r="P130" s="3"/>
    </row>
    <row r="131" spans="1:16" x14ac:dyDescent="0.25">
      <c r="A131" s="29"/>
      <c r="B131" s="33"/>
      <c r="C131" s="34"/>
      <c r="D131" s="34" t="s">
        <v>206</v>
      </c>
      <c r="E131" s="46"/>
      <c r="F131" s="53">
        <v>9796</v>
      </c>
      <c r="G131" s="105"/>
      <c r="H131" s="189">
        <v>446254.26</v>
      </c>
      <c r="I131" s="105"/>
      <c r="J131" s="191"/>
      <c r="K131" s="105"/>
      <c r="L131" s="54">
        <f t="shared" ref="L131:L132" si="48">H131+J131</f>
        <v>446254.26</v>
      </c>
      <c r="M131" s="105"/>
      <c r="N131" s="167"/>
      <c r="O131" s="3"/>
      <c r="P131" s="3"/>
    </row>
    <row r="132" spans="1:16" x14ac:dyDescent="0.25">
      <c r="A132" s="29"/>
      <c r="B132" s="33"/>
      <c r="C132" s="34"/>
      <c r="D132" s="34" t="s">
        <v>104</v>
      </c>
      <c r="E132" s="46"/>
      <c r="F132" s="53">
        <v>9797</v>
      </c>
      <c r="G132" s="105"/>
      <c r="H132" s="105"/>
      <c r="I132" s="105"/>
      <c r="J132" s="193">
        <f>J128-J131</f>
        <v>-0.33000000001629815</v>
      </c>
      <c r="K132" s="105"/>
      <c r="L132" s="54">
        <f t="shared" si="48"/>
        <v>-0.33000000001629815</v>
      </c>
      <c r="M132" s="105"/>
      <c r="N132" s="167"/>
      <c r="O132" s="3"/>
      <c r="P132" s="3"/>
    </row>
    <row r="133" spans="1:16" x14ac:dyDescent="0.25">
      <c r="A133" s="29"/>
      <c r="B133" s="33"/>
      <c r="C133" s="34"/>
      <c r="D133" s="34" t="s">
        <v>103</v>
      </c>
      <c r="E133" s="46"/>
      <c r="F133" s="57">
        <v>9791</v>
      </c>
      <c r="G133" s="105"/>
      <c r="H133" s="195">
        <f>H128-SUM(H131:H132)</f>
        <v>1102620.1199999996</v>
      </c>
      <c r="I133" s="105"/>
      <c r="J133" s="194">
        <v>0</v>
      </c>
      <c r="K133" s="105"/>
      <c r="L133" s="59">
        <f>L128-SUM(L131:L132)</f>
        <v>1102620.1200000001</v>
      </c>
      <c r="M133" s="105"/>
      <c r="N133" s="167"/>
      <c r="O133" s="3">
        <f>+G133+I133-K133</f>
        <v>0</v>
      </c>
      <c r="P133" s="22">
        <f>+H133+J133-L133</f>
        <v>0</v>
      </c>
    </row>
    <row r="134" spans="1:16" ht="8.1" customHeight="1" x14ac:dyDescent="0.25">
      <c r="A134" s="29"/>
      <c r="B134" s="61"/>
      <c r="C134" s="62"/>
      <c r="D134" s="62"/>
      <c r="E134" s="47"/>
      <c r="F134" s="53"/>
      <c r="G134" s="105"/>
      <c r="H134" s="54"/>
      <c r="I134" s="105"/>
      <c r="J134" s="65">
        <v>0</v>
      </c>
      <c r="K134" s="105"/>
      <c r="L134" s="54"/>
      <c r="M134" s="105"/>
      <c r="N134" s="167"/>
      <c r="O134" s="3"/>
      <c r="P134" s="3"/>
    </row>
    <row r="135" spans="1:16" x14ac:dyDescent="0.25">
      <c r="A135" s="29"/>
      <c r="B135" s="33" t="s">
        <v>37</v>
      </c>
      <c r="C135" s="34"/>
      <c r="D135" s="34"/>
      <c r="E135" s="46"/>
      <c r="F135" s="53"/>
      <c r="G135" s="105"/>
      <c r="H135" s="54"/>
      <c r="I135" s="105"/>
      <c r="J135" s="65"/>
      <c r="K135" s="105"/>
      <c r="L135" s="54"/>
      <c r="M135" s="105"/>
      <c r="N135" s="167"/>
      <c r="O135" s="3"/>
      <c r="P135" s="3"/>
    </row>
    <row r="136" spans="1:16" x14ac:dyDescent="0.25">
      <c r="A136" s="29"/>
      <c r="B136" s="33"/>
      <c r="C136" s="34" t="s">
        <v>38</v>
      </c>
      <c r="D136" s="34"/>
      <c r="E136" s="46"/>
      <c r="F136" s="53"/>
      <c r="G136" s="105"/>
      <c r="H136" s="54"/>
      <c r="I136" s="105"/>
      <c r="J136" s="65"/>
      <c r="K136" s="105"/>
      <c r="L136" s="54"/>
      <c r="M136" s="105"/>
      <c r="N136" s="167"/>
      <c r="O136" s="3"/>
      <c r="P136" s="3"/>
    </row>
    <row r="137" spans="1:16" x14ac:dyDescent="0.25">
      <c r="A137" s="29"/>
      <c r="B137" s="33"/>
      <c r="C137" s="34"/>
      <c r="D137" s="34" t="s">
        <v>39</v>
      </c>
      <c r="E137" s="46"/>
      <c r="F137" s="53">
        <v>9110</v>
      </c>
      <c r="G137" s="105"/>
      <c r="H137" s="190">
        <v>778437.32</v>
      </c>
      <c r="I137" s="105"/>
      <c r="J137" s="191"/>
      <c r="K137" s="105"/>
      <c r="L137" s="54">
        <f t="shared" ref="L137:L150" si="49">H137+J137</f>
        <v>778437.32</v>
      </c>
      <c r="M137" s="105"/>
      <c r="N137" s="167"/>
      <c r="O137" s="3"/>
      <c r="P137" s="3"/>
    </row>
    <row r="138" spans="1:16" x14ac:dyDescent="0.25">
      <c r="A138" s="29"/>
      <c r="B138" s="33"/>
      <c r="C138" s="34"/>
      <c r="D138" s="34" t="s">
        <v>90</v>
      </c>
      <c r="E138" s="46"/>
      <c r="F138" s="53">
        <v>9111</v>
      </c>
      <c r="G138" s="105"/>
      <c r="H138" s="190"/>
      <c r="I138" s="105"/>
      <c r="J138" s="191"/>
      <c r="K138" s="105"/>
      <c r="L138" s="54">
        <f t="shared" si="49"/>
        <v>0</v>
      </c>
      <c r="M138" s="105"/>
      <c r="N138" s="167"/>
      <c r="O138" s="3"/>
      <c r="P138" s="3"/>
    </row>
    <row r="139" spans="1:16" x14ac:dyDescent="0.25">
      <c r="A139" s="29"/>
      <c r="B139" s="33"/>
      <c r="C139" s="34"/>
      <c r="D139" s="34" t="s">
        <v>40</v>
      </c>
      <c r="E139" s="46"/>
      <c r="F139" s="53">
        <v>9120</v>
      </c>
      <c r="G139" s="105"/>
      <c r="H139" s="239">
        <v>423051.17</v>
      </c>
      <c r="I139" s="105"/>
      <c r="J139" s="191"/>
      <c r="K139" s="105"/>
      <c r="L139" s="54">
        <f t="shared" si="49"/>
        <v>423051.17</v>
      </c>
      <c r="M139" s="105"/>
      <c r="N139" s="167"/>
      <c r="O139" s="3"/>
      <c r="P139" s="3"/>
    </row>
    <row r="140" spans="1:16" x14ac:dyDescent="0.25">
      <c r="A140" s="29"/>
      <c r="B140" s="33"/>
      <c r="C140" s="34"/>
      <c r="D140" s="34" t="s">
        <v>41</v>
      </c>
      <c r="E140" s="46"/>
      <c r="F140" s="53">
        <v>9130</v>
      </c>
      <c r="G140" s="105"/>
      <c r="H140" s="190"/>
      <c r="I140" s="105"/>
      <c r="J140" s="191"/>
      <c r="K140" s="105"/>
      <c r="L140" s="54">
        <f t="shared" si="49"/>
        <v>0</v>
      </c>
      <c r="M140" s="105"/>
      <c r="N140" s="167"/>
      <c r="O140" s="3"/>
      <c r="P140" s="3"/>
    </row>
    <row r="141" spans="1:16" x14ac:dyDescent="0.25">
      <c r="A141" s="29"/>
      <c r="B141" s="33"/>
      <c r="C141" s="34"/>
      <c r="D141" s="34" t="s">
        <v>91</v>
      </c>
      <c r="E141" s="46"/>
      <c r="F141" s="53">
        <v>9135</v>
      </c>
      <c r="G141" s="105"/>
      <c r="H141" s="190"/>
      <c r="I141" s="105"/>
      <c r="J141" s="191"/>
      <c r="K141" s="105"/>
      <c r="L141" s="54">
        <f t="shared" si="49"/>
        <v>0</v>
      </c>
      <c r="M141" s="105"/>
      <c r="N141" s="167"/>
      <c r="O141" s="3"/>
      <c r="P141" s="3"/>
    </row>
    <row r="142" spans="1:16" x14ac:dyDescent="0.25">
      <c r="A142" s="29"/>
      <c r="B142" s="33"/>
      <c r="C142" s="34"/>
      <c r="D142" s="34" t="s">
        <v>42</v>
      </c>
      <c r="E142" s="46"/>
      <c r="F142" s="53">
        <v>9140</v>
      </c>
      <c r="G142" s="105"/>
      <c r="H142" s="190"/>
      <c r="I142" s="105"/>
      <c r="J142" s="191"/>
      <c r="K142" s="105"/>
      <c r="L142" s="54">
        <f t="shared" si="49"/>
        <v>0</v>
      </c>
      <c r="M142" s="105"/>
      <c r="N142" s="167"/>
      <c r="O142" s="3"/>
      <c r="P142" s="3"/>
    </row>
    <row r="143" spans="1:16" x14ac:dyDescent="0.25">
      <c r="A143" s="29"/>
      <c r="B143" s="33"/>
      <c r="C143" s="34" t="s">
        <v>43</v>
      </c>
      <c r="D143" s="34"/>
      <c r="E143" s="46"/>
      <c r="F143" s="53">
        <v>9150</v>
      </c>
      <c r="G143" s="105"/>
      <c r="H143" s="190"/>
      <c r="I143" s="105"/>
      <c r="J143" s="191"/>
      <c r="K143" s="105"/>
      <c r="L143" s="54">
        <f t="shared" si="49"/>
        <v>0</v>
      </c>
      <c r="M143" s="105"/>
      <c r="N143" s="167"/>
      <c r="O143" s="3"/>
      <c r="P143" s="3"/>
    </row>
    <row r="144" spans="1:16" x14ac:dyDescent="0.25">
      <c r="A144" s="29"/>
      <c r="B144" s="33"/>
      <c r="C144" s="34" t="s">
        <v>44</v>
      </c>
      <c r="D144" s="34"/>
      <c r="E144" s="46"/>
      <c r="F144" s="53">
        <v>9200</v>
      </c>
      <c r="G144" s="105"/>
      <c r="H144" s="190">
        <v>868018.36</v>
      </c>
      <c r="I144" s="105"/>
      <c r="J144" s="191"/>
      <c r="K144" s="105"/>
      <c r="L144" s="54">
        <f t="shared" si="49"/>
        <v>868018.36</v>
      </c>
      <c r="M144" s="105"/>
      <c r="N144" s="167"/>
      <c r="O144" s="3"/>
      <c r="P144" s="3"/>
    </row>
    <row r="145" spans="1:16" x14ac:dyDescent="0.25">
      <c r="A145" s="29"/>
      <c r="B145" s="33"/>
      <c r="C145" s="34" t="s">
        <v>45</v>
      </c>
      <c r="D145" s="34"/>
      <c r="E145" s="46"/>
      <c r="F145" s="53">
        <v>9290</v>
      </c>
      <c r="G145" s="105"/>
      <c r="H145" s="190">
        <v>298614.99</v>
      </c>
      <c r="I145" s="105"/>
      <c r="J145" s="191"/>
      <c r="K145" s="105"/>
      <c r="L145" s="54">
        <f t="shared" si="49"/>
        <v>298614.99</v>
      </c>
      <c r="M145" s="105"/>
      <c r="N145" s="167"/>
      <c r="O145" s="3"/>
      <c r="P145" s="3"/>
    </row>
    <row r="146" spans="1:16" x14ac:dyDescent="0.25">
      <c r="A146" s="29"/>
      <c r="B146" s="33"/>
      <c r="C146" s="34" t="s">
        <v>46</v>
      </c>
      <c r="D146" s="34"/>
      <c r="E146" s="46"/>
      <c r="F146" s="53">
        <v>9310</v>
      </c>
      <c r="G146" s="105"/>
      <c r="H146" s="190"/>
      <c r="I146" s="105"/>
      <c r="J146" s="191"/>
      <c r="K146" s="105"/>
      <c r="L146" s="54">
        <f t="shared" si="49"/>
        <v>0</v>
      </c>
      <c r="M146" s="105"/>
      <c r="N146" s="167"/>
      <c r="O146" s="3"/>
      <c r="P146" s="3"/>
    </row>
    <row r="147" spans="1:16" x14ac:dyDescent="0.25">
      <c r="A147" s="29"/>
      <c r="B147" s="33"/>
      <c r="C147" s="34" t="s">
        <v>47</v>
      </c>
      <c r="D147" s="34"/>
      <c r="E147" s="46"/>
      <c r="F147" s="53">
        <v>9320</v>
      </c>
      <c r="G147" s="105"/>
      <c r="H147" s="190"/>
      <c r="I147" s="105"/>
      <c r="J147" s="191"/>
      <c r="K147" s="105"/>
      <c r="L147" s="54">
        <f t="shared" si="49"/>
        <v>0</v>
      </c>
      <c r="M147" s="105"/>
      <c r="N147" s="167"/>
      <c r="O147" s="3"/>
      <c r="P147" s="3"/>
    </row>
    <row r="148" spans="1:16" x14ac:dyDescent="0.25">
      <c r="A148" s="29"/>
      <c r="B148" s="33"/>
      <c r="C148" s="34" t="s">
        <v>89</v>
      </c>
      <c r="D148" s="34"/>
      <c r="E148" s="46"/>
      <c r="F148" s="53">
        <v>9330</v>
      </c>
      <c r="G148" s="105"/>
      <c r="H148" s="190">
        <v>16672.240000000002</v>
      </c>
      <c r="I148" s="105"/>
      <c r="J148" s="191"/>
      <c r="K148" s="105"/>
      <c r="L148" s="54">
        <f t="shared" si="49"/>
        <v>16672.240000000002</v>
      </c>
      <c r="M148" s="105"/>
      <c r="N148" s="167"/>
      <c r="O148" s="3"/>
      <c r="P148" s="3"/>
    </row>
    <row r="149" spans="1:16" x14ac:dyDescent="0.25">
      <c r="A149" s="29"/>
      <c r="B149" s="33"/>
      <c r="C149" s="34" t="s">
        <v>48</v>
      </c>
      <c r="D149" s="34"/>
      <c r="E149" s="46"/>
      <c r="F149" s="53">
        <v>9340</v>
      </c>
      <c r="G149" s="105"/>
      <c r="H149" s="190"/>
      <c r="I149" s="105"/>
      <c r="J149" s="191"/>
      <c r="K149" s="105"/>
      <c r="L149" s="54">
        <f t="shared" si="49"/>
        <v>0</v>
      </c>
      <c r="M149" s="105"/>
      <c r="N149" s="167"/>
      <c r="O149" s="3"/>
      <c r="P149" s="3"/>
    </row>
    <row r="150" spans="1:16" x14ac:dyDescent="0.25">
      <c r="A150" s="29"/>
      <c r="B150" s="33"/>
      <c r="C150" s="34" t="s">
        <v>207</v>
      </c>
      <c r="D150" s="34"/>
      <c r="E150" s="46"/>
      <c r="F150" s="53" t="s">
        <v>109</v>
      </c>
      <c r="G150" s="105"/>
      <c r="H150" s="190">
        <v>446254.26</v>
      </c>
      <c r="I150" s="105"/>
      <c r="J150" s="191"/>
      <c r="K150" s="105"/>
      <c r="L150" s="54">
        <f t="shared" si="49"/>
        <v>446254.26</v>
      </c>
      <c r="M150" s="105"/>
      <c r="N150" s="167"/>
      <c r="O150" s="3"/>
      <c r="P150" s="3"/>
    </row>
    <row r="151" spans="1:16" s="7" customFormat="1" x14ac:dyDescent="0.25">
      <c r="A151" s="30"/>
      <c r="B151" s="33"/>
      <c r="C151" s="34" t="s">
        <v>175</v>
      </c>
      <c r="D151" s="34"/>
      <c r="E151" s="46"/>
      <c r="F151" s="57"/>
      <c r="G151" s="105"/>
      <c r="H151" s="58">
        <f>SUM(H137:H150)</f>
        <v>2831048.34</v>
      </c>
      <c r="I151" s="105"/>
      <c r="J151" s="76">
        <f>SUM(J137:J150)</f>
        <v>0</v>
      </c>
      <c r="K151" s="105"/>
      <c r="L151" s="59">
        <f>SUM(L137:L150)</f>
        <v>2831048.34</v>
      </c>
      <c r="M151" s="105"/>
      <c r="N151" s="167"/>
      <c r="O151" s="6">
        <f>+G151+I151-K151</f>
        <v>0</v>
      </c>
      <c r="P151" s="23">
        <f>+H151+J151-L151</f>
        <v>0</v>
      </c>
    </row>
    <row r="152" spans="1:16" ht="8.1" customHeight="1" x14ac:dyDescent="0.25">
      <c r="A152" s="29"/>
      <c r="B152" s="61"/>
      <c r="C152" s="62"/>
      <c r="D152" s="62"/>
      <c r="E152" s="47"/>
      <c r="F152" s="53"/>
      <c r="G152" s="105"/>
      <c r="H152" s="54"/>
      <c r="I152" s="105"/>
      <c r="J152" s="65"/>
      <c r="K152" s="105"/>
      <c r="L152" s="54"/>
      <c r="M152" s="105"/>
      <c r="N152" s="167"/>
      <c r="O152" s="3"/>
      <c r="P152" s="5"/>
    </row>
    <row r="153" spans="1:16" x14ac:dyDescent="0.25">
      <c r="A153" s="29"/>
      <c r="B153" s="33" t="s">
        <v>92</v>
      </c>
      <c r="C153" s="34"/>
      <c r="D153" s="34"/>
      <c r="E153" s="46"/>
      <c r="F153" s="53"/>
      <c r="G153" s="105"/>
      <c r="H153" s="54"/>
      <c r="I153" s="105"/>
      <c r="J153" s="65"/>
      <c r="K153" s="105"/>
      <c r="L153" s="54"/>
      <c r="M153" s="105"/>
      <c r="N153" s="167"/>
      <c r="O153" s="3"/>
      <c r="P153" s="5"/>
    </row>
    <row r="154" spans="1:16" x14ac:dyDescent="0.25">
      <c r="A154" s="29"/>
      <c r="B154" s="33"/>
      <c r="C154" s="34" t="s">
        <v>93</v>
      </c>
      <c r="D154" s="34"/>
      <c r="E154" s="46"/>
      <c r="F154" s="53">
        <v>9490</v>
      </c>
      <c r="G154" s="105"/>
      <c r="H154" s="188"/>
      <c r="I154" s="105"/>
      <c r="J154" s="189"/>
      <c r="K154" s="105"/>
      <c r="L154" s="54">
        <f t="shared" ref="L154" si="50">H154+J154</f>
        <v>0</v>
      </c>
      <c r="M154" s="105"/>
      <c r="N154" s="167"/>
      <c r="O154" s="3"/>
      <c r="P154" s="5"/>
    </row>
    <row r="155" spans="1:16" s="7" customFormat="1" x14ac:dyDescent="0.25">
      <c r="A155" s="30"/>
      <c r="B155" s="33"/>
      <c r="C155" s="34" t="s">
        <v>176</v>
      </c>
      <c r="D155" s="34"/>
      <c r="E155" s="46"/>
      <c r="F155" s="57"/>
      <c r="G155" s="105"/>
      <c r="H155" s="58">
        <f>SUM(H154:H154)</f>
        <v>0</v>
      </c>
      <c r="I155" s="105"/>
      <c r="J155" s="76">
        <f>SUM(J154:J154)</f>
        <v>0</v>
      </c>
      <c r="K155" s="105"/>
      <c r="L155" s="59">
        <f>SUM(L154:L154)</f>
        <v>0</v>
      </c>
      <c r="M155" s="105"/>
      <c r="N155" s="167"/>
      <c r="O155" s="3">
        <f>+G155+I155-K155</f>
        <v>0</v>
      </c>
      <c r="P155" s="22">
        <f>+H155+J155-L155</f>
        <v>0</v>
      </c>
    </row>
    <row r="156" spans="1:16" s="9" customFormat="1" ht="8.1" customHeight="1" x14ac:dyDescent="0.25">
      <c r="A156" s="28"/>
      <c r="B156" s="61"/>
      <c r="C156" s="62"/>
      <c r="D156" s="62"/>
      <c r="E156" s="47"/>
      <c r="F156" s="74"/>
      <c r="G156" s="105"/>
      <c r="H156" s="64"/>
      <c r="I156" s="105"/>
      <c r="J156" s="75"/>
      <c r="K156" s="105"/>
      <c r="L156" s="64"/>
      <c r="M156" s="105"/>
      <c r="N156" s="167"/>
      <c r="O156" s="8"/>
      <c r="P156" s="24"/>
    </row>
    <row r="157" spans="1:16" x14ac:dyDescent="0.25">
      <c r="A157" s="29"/>
      <c r="B157" s="33" t="s">
        <v>94</v>
      </c>
      <c r="C157" s="34"/>
      <c r="D157" s="34"/>
      <c r="E157" s="46"/>
      <c r="F157" s="53"/>
      <c r="G157" s="105"/>
      <c r="H157" s="54"/>
      <c r="I157" s="105"/>
      <c r="J157" s="65"/>
      <c r="K157" s="105"/>
      <c r="L157" s="54"/>
      <c r="M157" s="105"/>
      <c r="N157" s="167"/>
      <c r="O157" s="3"/>
      <c r="P157" s="3"/>
    </row>
    <row r="158" spans="1:16" x14ac:dyDescent="0.25">
      <c r="A158" s="29"/>
      <c r="B158" s="33"/>
      <c r="C158" s="34" t="s">
        <v>49</v>
      </c>
      <c r="D158" s="34"/>
      <c r="E158" s="46"/>
      <c r="F158" s="53">
        <v>9500</v>
      </c>
      <c r="G158" s="105"/>
      <c r="H158" s="239">
        <v>469336.45</v>
      </c>
      <c r="I158" s="105"/>
      <c r="J158" s="189"/>
      <c r="K158" s="105"/>
      <c r="L158" s="54">
        <f t="shared" ref="L158:L163" si="51">H158+J158</f>
        <v>469336.45</v>
      </c>
      <c r="M158" s="105"/>
      <c r="N158" s="167"/>
      <c r="O158" s="3"/>
      <c r="P158" s="3"/>
    </row>
    <row r="159" spans="1:16" x14ac:dyDescent="0.25">
      <c r="A159" s="29"/>
      <c r="B159" s="33"/>
      <c r="C159" s="34" t="s">
        <v>50</v>
      </c>
      <c r="D159" s="34"/>
      <c r="E159" s="46"/>
      <c r="F159" s="53">
        <v>9590</v>
      </c>
      <c r="G159" s="105"/>
      <c r="H159" s="196">
        <v>1745</v>
      </c>
      <c r="I159" s="105"/>
      <c r="J159" s="189"/>
      <c r="K159" s="105"/>
      <c r="L159" s="54">
        <f t="shared" si="51"/>
        <v>1745</v>
      </c>
      <c r="M159" s="105"/>
      <c r="N159" s="167"/>
      <c r="O159" s="3"/>
      <c r="P159" s="3"/>
    </row>
    <row r="160" spans="1:16" x14ac:dyDescent="0.25">
      <c r="A160" s="29"/>
      <c r="B160" s="33"/>
      <c r="C160" s="34" t="s">
        <v>51</v>
      </c>
      <c r="D160" s="34"/>
      <c r="E160" s="46"/>
      <c r="F160" s="53">
        <v>9610</v>
      </c>
      <c r="G160" s="105"/>
      <c r="H160" s="190"/>
      <c r="I160" s="105"/>
      <c r="J160" s="189"/>
      <c r="K160" s="105"/>
      <c r="L160" s="54">
        <f t="shared" si="51"/>
        <v>0</v>
      </c>
      <c r="M160" s="105"/>
      <c r="N160" s="167"/>
      <c r="O160" s="3"/>
      <c r="P160" s="3"/>
    </row>
    <row r="161" spans="1:19" x14ac:dyDescent="0.25">
      <c r="A161" s="29"/>
      <c r="B161" s="33"/>
      <c r="C161" s="34" t="s">
        <v>74</v>
      </c>
      <c r="D161" s="34"/>
      <c r="E161" s="46"/>
      <c r="F161" s="53">
        <v>9640</v>
      </c>
      <c r="G161" s="105"/>
      <c r="H161" s="190"/>
      <c r="I161" s="105"/>
      <c r="J161" s="189"/>
      <c r="K161" s="105"/>
      <c r="L161" s="54">
        <f t="shared" si="51"/>
        <v>0</v>
      </c>
      <c r="M161" s="105"/>
      <c r="N161" s="167"/>
      <c r="O161" s="3"/>
      <c r="P161" s="3"/>
    </row>
    <row r="162" spans="1:19" x14ac:dyDescent="0.25">
      <c r="A162" s="29"/>
      <c r="B162" s="33"/>
      <c r="C162" s="34" t="s">
        <v>52</v>
      </c>
      <c r="D162" s="34"/>
      <c r="E162" s="46"/>
      <c r="F162" s="53">
        <v>9650</v>
      </c>
      <c r="G162" s="105"/>
      <c r="H162" s="240">
        <v>795793.64</v>
      </c>
      <c r="I162" s="105"/>
      <c r="J162" s="189"/>
      <c r="K162" s="105"/>
      <c r="L162" s="54">
        <f t="shared" si="51"/>
        <v>795793.64</v>
      </c>
      <c r="M162" s="105"/>
      <c r="N162" s="167"/>
      <c r="O162" s="3"/>
      <c r="P162" s="3"/>
    </row>
    <row r="163" spans="1:19" x14ac:dyDescent="0.25">
      <c r="A163" s="29"/>
      <c r="B163" s="33"/>
      <c r="C163" s="34" t="s">
        <v>77</v>
      </c>
      <c r="D163" s="34"/>
      <c r="E163" s="46"/>
      <c r="F163" s="53" t="s">
        <v>53</v>
      </c>
      <c r="G163" s="105"/>
      <c r="H163" s="188">
        <v>15299.2</v>
      </c>
      <c r="I163" s="105"/>
      <c r="J163" s="189"/>
      <c r="K163" s="105"/>
      <c r="L163" s="54">
        <f t="shared" si="51"/>
        <v>15299.2</v>
      </c>
      <c r="M163" s="105"/>
      <c r="N163" s="167"/>
      <c r="O163" s="3"/>
      <c r="P163" s="3"/>
    </row>
    <row r="164" spans="1:19" x14ac:dyDescent="0.25">
      <c r="A164" s="29"/>
      <c r="B164" s="33"/>
      <c r="C164" s="34" t="s">
        <v>177</v>
      </c>
      <c r="D164" s="34"/>
      <c r="E164" s="46"/>
      <c r="F164" s="57"/>
      <c r="G164" s="105"/>
      <c r="H164" s="58">
        <f>SUM(H157:H163)</f>
        <v>1282174.29</v>
      </c>
      <c r="I164" s="105"/>
      <c r="J164" s="76">
        <f>SUM(J157:J163)</f>
        <v>0</v>
      </c>
      <c r="K164" s="105"/>
      <c r="L164" s="59">
        <f>SUM(L157:L163)</f>
        <v>1282174.29</v>
      </c>
      <c r="M164" s="105"/>
      <c r="N164" s="167"/>
      <c r="O164" s="3">
        <f>+G164+I164-K164</f>
        <v>0</v>
      </c>
      <c r="P164" s="22">
        <f>+H164+J164-L164</f>
        <v>0</v>
      </c>
    </row>
    <row r="165" spans="1:19" ht="8.1" customHeight="1" x14ac:dyDescent="0.25">
      <c r="A165" s="29"/>
      <c r="B165" s="61"/>
      <c r="C165" s="62"/>
      <c r="D165" s="62"/>
      <c r="E165" s="47"/>
      <c r="F165" s="53"/>
      <c r="G165" s="105"/>
      <c r="H165" s="54"/>
      <c r="I165" s="105"/>
      <c r="J165" s="65"/>
      <c r="K165" s="105"/>
      <c r="L165" s="54"/>
      <c r="M165" s="105"/>
      <c r="N165" s="167"/>
      <c r="O165" s="3"/>
      <c r="P165" s="5"/>
    </row>
    <row r="166" spans="1:19" x14ac:dyDescent="0.25">
      <c r="A166" s="29"/>
      <c r="B166" s="33" t="s">
        <v>95</v>
      </c>
      <c r="C166" s="34"/>
      <c r="D166" s="34"/>
      <c r="E166" s="46"/>
      <c r="F166" s="53"/>
      <c r="G166" s="105"/>
      <c r="H166" s="54"/>
      <c r="I166" s="105"/>
      <c r="J166" s="65"/>
      <c r="K166" s="105"/>
      <c r="L166" s="54"/>
      <c r="M166" s="105"/>
      <c r="N166" s="167"/>
      <c r="O166" s="3"/>
      <c r="P166" s="5"/>
    </row>
    <row r="167" spans="1:19" x14ac:dyDescent="0.25">
      <c r="A167" s="29"/>
      <c r="B167" s="33"/>
      <c r="C167" s="34" t="s">
        <v>96</v>
      </c>
      <c r="D167" s="34"/>
      <c r="E167" s="46"/>
      <c r="F167" s="53">
        <v>9690</v>
      </c>
      <c r="G167" s="105"/>
      <c r="H167" s="188"/>
      <c r="I167" s="105"/>
      <c r="J167" s="189"/>
      <c r="K167" s="105"/>
      <c r="L167" s="54">
        <f t="shared" ref="L167" si="52">H167+J167</f>
        <v>0</v>
      </c>
      <c r="M167" s="105"/>
      <c r="N167" s="167"/>
      <c r="O167" s="3"/>
      <c r="P167" s="5"/>
    </row>
    <row r="168" spans="1:19" s="7" customFormat="1" x14ac:dyDescent="0.25">
      <c r="A168" s="30"/>
      <c r="B168" s="33"/>
      <c r="C168" s="34" t="s">
        <v>178</v>
      </c>
      <c r="D168" s="34"/>
      <c r="E168" s="46"/>
      <c r="F168" s="57"/>
      <c r="G168" s="105"/>
      <c r="H168" s="58">
        <f>SUM(H167:H167)</f>
        <v>0</v>
      </c>
      <c r="I168" s="105"/>
      <c r="J168" s="76">
        <f>SUM(J167:J167)</f>
        <v>0</v>
      </c>
      <c r="K168" s="105"/>
      <c r="L168" s="59">
        <f>SUM(L167:L167)</f>
        <v>0</v>
      </c>
      <c r="M168" s="105"/>
      <c r="N168" s="167"/>
      <c r="O168" s="3">
        <f>+G168+I168-K168</f>
        <v>0</v>
      </c>
      <c r="P168" s="22">
        <f>+H168+J168-L168</f>
        <v>0</v>
      </c>
    </row>
    <row r="169" spans="1:19" ht="8.1" customHeight="1" x14ac:dyDescent="0.25">
      <c r="A169" s="29"/>
      <c r="B169" s="61"/>
      <c r="C169" s="62"/>
      <c r="D169" s="62"/>
      <c r="E169" s="47"/>
      <c r="F169" s="53"/>
      <c r="G169" s="105"/>
      <c r="H169" s="54"/>
      <c r="I169" s="105"/>
      <c r="J169" s="65"/>
      <c r="K169" s="105"/>
      <c r="L169" s="54"/>
      <c r="M169" s="105"/>
      <c r="N169" s="167"/>
      <c r="O169" s="3"/>
      <c r="P169" s="3"/>
    </row>
    <row r="170" spans="1:19" x14ac:dyDescent="0.25">
      <c r="A170" s="29"/>
      <c r="B170" s="33" t="s">
        <v>232</v>
      </c>
      <c r="C170" s="34"/>
      <c r="D170" s="34"/>
      <c r="E170" s="46"/>
      <c r="F170" s="53"/>
      <c r="G170" s="105"/>
      <c r="H170" s="54" t="str">
        <f>IF(Q171=0," ","(must = Line F2)")</f>
        <v xml:space="preserve"> </v>
      </c>
      <c r="I170" s="105"/>
      <c r="J170" s="65" t="str">
        <f>IF(R171=0," ","(must = Line F2)")</f>
        <v xml:space="preserve"> </v>
      </c>
      <c r="K170" s="105"/>
      <c r="L170" s="54" t="str">
        <f>IF(S171=0," ","(must = Line F2)")</f>
        <v xml:space="preserve"> </v>
      </c>
      <c r="M170" s="105"/>
      <c r="N170" s="167"/>
      <c r="O170" s="3"/>
      <c r="P170" s="3"/>
      <c r="Q170" s="10">
        <f>ROUND(SUM(H171-H128),0)</f>
        <v>0</v>
      </c>
      <c r="R170" s="10">
        <f>ROUND(SUM(J171-J128),0)</f>
        <v>0</v>
      </c>
      <c r="S170" s="10">
        <f>ROUND(SUM(L171-L128),0)</f>
        <v>0</v>
      </c>
    </row>
    <row r="171" spans="1:19" x14ac:dyDescent="0.25">
      <c r="A171" s="32"/>
      <c r="B171" s="205"/>
      <c r="C171" s="206" t="s">
        <v>102</v>
      </c>
      <c r="D171" s="206"/>
      <c r="E171" s="207"/>
      <c r="F171" s="208"/>
      <c r="G171" s="105"/>
      <c r="H171" s="209">
        <f>+H151+H155-H164-H168</f>
        <v>1548874.0499999998</v>
      </c>
      <c r="I171" s="105"/>
      <c r="J171" s="210">
        <f>+J151+J155-J164-J168</f>
        <v>0</v>
      </c>
      <c r="K171" s="105"/>
      <c r="L171" s="209">
        <f>+L151+L155-L164-L168</f>
        <v>1548874.0499999998</v>
      </c>
      <c r="M171" s="105"/>
      <c r="N171" s="167"/>
      <c r="O171" s="3">
        <f>+G171+I171-K171</f>
        <v>0</v>
      </c>
      <c r="P171" s="5">
        <f>+H171+J171-L171</f>
        <v>0</v>
      </c>
      <c r="Q171" s="1">
        <f>IF(ABS(Q170)&lt;10.01,0,Q170)</f>
        <v>0</v>
      </c>
      <c r="R171" s="1">
        <f t="shared" ref="R171:S171" si="53">IF(ABS(R170)&lt;10.01,0,R170)</f>
        <v>0</v>
      </c>
      <c r="S171" s="1">
        <f t="shared" si="53"/>
        <v>0</v>
      </c>
    </row>
    <row r="172" spans="1:19" ht="15.75" thickBot="1" x14ac:dyDescent="0.3">
      <c r="A172" s="27"/>
      <c r="B172" s="112"/>
      <c r="C172" s="113"/>
      <c r="D172" s="114" t="s">
        <v>208</v>
      </c>
      <c r="E172" s="115"/>
      <c r="F172" s="116"/>
      <c r="G172" s="117"/>
      <c r="H172" s="118"/>
      <c r="I172" s="117"/>
      <c r="J172" s="119"/>
      <c r="K172" s="117"/>
      <c r="L172" s="118"/>
      <c r="M172" s="117"/>
      <c r="N172" s="171"/>
      <c r="O172" s="3"/>
      <c r="P172" s="3"/>
    </row>
    <row r="173" spans="1:19" s="20" customFormat="1" hidden="1" x14ac:dyDescent="0.25">
      <c r="A173" s="11"/>
      <c r="B173" s="12"/>
      <c r="C173" s="12"/>
      <c r="D173" s="13"/>
      <c r="E173" s="13"/>
      <c r="F173" s="13" t="s">
        <v>106</v>
      </c>
      <c r="G173" s="14"/>
      <c r="H173" s="15">
        <f>+H171-H128</f>
        <v>-0.32999999984167516</v>
      </c>
      <c r="I173" s="16"/>
      <c r="J173" s="15">
        <f>+J171-J128</f>
        <v>0.33000000001629815</v>
      </c>
      <c r="K173" s="17"/>
      <c r="L173" s="15">
        <f>+L171-L128</f>
        <v>0</v>
      </c>
      <c r="M173" s="17"/>
      <c r="N173" s="18"/>
      <c r="O173" s="19"/>
      <c r="P173" s="19"/>
    </row>
    <row r="174" spans="1:19" hidden="1" x14ac:dyDescent="0.25">
      <c r="F174" s="2"/>
      <c r="L174" s="21"/>
    </row>
    <row r="175" spans="1:19" hidden="1" x14ac:dyDescent="0.25">
      <c r="F175" s="2"/>
    </row>
    <row r="176" spans="1:19" hidden="1" x14ac:dyDescent="0.25">
      <c r="F176" s="2"/>
    </row>
    <row r="177" spans="6:13" hidden="1" x14ac:dyDescent="0.25">
      <c r="F177" s="2"/>
      <c r="M177" s="21"/>
    </row>
    <row r="178" spans="6:13" hidden="1" x14ac:dyDescent="0.25">
      <c r="F178" s="2"/>
    </row>
    <row r="179" spans="6:13" hidden="1" x14ac:dyDescent="0.25">
      <c r="F179" s="2"/>
    </row>
    <row r="180" spans="6:13" hidden="1" x14ac:dyDescent="0.25">
      <c r="F180" s="2"/>
    </row>
    <row r="181" spans="6:13" hidden="1" x14ac:dyDescent="0.25">
      <c r="F181" s="2"/>
    </row>
    <row r="182" spans="6:13" hidden="1" x14ac:dyDescent="0.25">
      <c r="F182" s="2"/>
    </row>
    <row r="183" spans="6:13" hidden="1" x14ac:dyDescent="0.25">
      <c r="F183" s="2"/>
    </row>
    <row r="184" spans="6:13" hidden="1" x14ac:dyDescent="0.25">
      <c r="F184" s="2"/>
    </row>
    <row r="185" spans="6:13" hidden="1" x14ac:dyDescent="0.25">
      <c r="F185" s="2"/>
    </row>
    <row r="186" spans="6:13" hidden="1" x14ac:dyDescent="0.25">
      <c r="F186" s="2"/>
    </row>
    <row r="187" spans="6:13" hidden="1" x14ac:dyDescent="0.25">
      <c r="F187" s="2"/>
    </row>
    <row r="188" spans="6:13" hidden="1" x14ac:dyDescent="0.25">
      <c r="F188" s="2"/>
    </row>
    <row r="189" spans="6:13" hidden="1" x14ac:dyDescent="0.25">
      <c r="F189" s="2"/>
    </row>
    <row r="190" spans="6:13" hidden="1" x14ac:dyDescent="0.25">
      <c r="F190" s="2"/>
    </row>
    <row r="191" spans="6:13" hidden="1" x14ac:dyDescent="0.25">
      <c r="F191" s="2"/>
    </row>
    <row r="192" spans="6:13" hidden="1" x14ac:dyDescent="0.25">
      <c r="F192" s="2"/>
    </row>
    <row r="193" spans="6:6" hidden="1" x14ac:dyDescent="0.25">
      <c r="F193" s="2"/>
    </row>
    <row r="194" spans="6:6" hidden="1" x14ac:dyDescent="0.25">
      <c r="F194" s="2"/>
    </row>
    <row r="195" spans="6:6" hidden="1" x14ac:dyDescent="0.25">
      <c r="F195" s="2"/>
    </row>
    <row r="196" spans="6:6" hidden="1" x14ac:dyDescent="0.25">
      <c r="F196" s="2"/>
    </row>
    <row r="197" spans="6:6" hidden="1" x14ac:dyDescent="0.25">
      <c r="F197" s="2"/>
    </row>
    <row r="198" spans="6:6" hidden="1" x14ac:dyDescent="0.25">
      <c r="F198" s="2"/>
    </row>
    <row r="199" spans="6:6" hidden="1" x14ac:dyDescent="0.25">
      <c r="F199" s="2"/>
    </row>
    <row r="200" spans="6:6" hidden="1" x14ac:dyDescent="0.25">
      <c r="F200" s="2"/>
    </row>
    <row r="201" spans="6:6" hidden="1" x14ac:dyDescent="0.25">
      <c r="F201" s="2"/>
    </row>
    <row r="202" spans="6:6" hidden="1" x14ac:dyDescent="0.25">
      <c r="F202" s="2"/>
    </row>
    <row r="203" spans="6:6" hidden="1" x14ac:dyDescent="0.25">
      <c r="F203" s="2"/>
    </row>
    <row r="204" spans="6:6" hidden="1" x14ac:dyDescent="0.25">
      <c r="F204" s="2"/>
    </row>
    <row r="205" spans="6:6" hidden="1" x14ac:dyDescent="0.25">
      <c r="F205" s="2"/>
    </row>
    <row r="206" spans="6:6" hidden="1" x14ac:dyDescent="0.25">
      <c r="F206" s="2"/>
    </row>
    <row r="207" spans="6:6" hidden="1" x14ac:dyDescent="0.25">
      <c r="F207" s="2"/>
    </row>
    <row r="208" spans="6:6" hidden="1" x14ac:dyDescent="0.25">
      <c r="F208" s="2"/>
    </row>
    <row r="209" spans="6:6" hidden="1" x14ac:dyDescent="0.25">
      <c r="F209" s="2"/>
    </row>
    <row r="210" spans="6:6" hidden="1" x14ac:dyDescent="0.25">
      <c r="F210" s="2"/>
    </row>
    <row r="211" spans="6:6" hidden="1" x14ac:dyDescent="0.25">
      <c r="F211" s="2"/>
    </row>
    <row r="212" spans="6:6" hidden="1" x14ac:dyDescent="0.25">
      <c r="F212" s="2"/>
    </row>
    <row r="213" spans="6:6" hidden="1" x14ac:dyDescent="0.25">
      <c r="F213" s="2"/>
    </row>
    <row r="214" spans="6:6" hidden="1" x14ac:dyDescent="0.25">
      <c r="F214" s="2"/>
    </row>
    <row r="215" spans="6:6" hidden="1" x14ac:dyDescent="0.25">
      <c r="F215" s="2"/>
    </row>
    <row r="216" spans="6:6" hidden="1" x14ac:dyDescent="0.25">
      <c r="F216" s="2"/>
    </row>
    <row r="217" spans="6:6" hidden="1" x14ac:dyDescent="0.25">
      <c r="F217" s="2"/>
    </row>
    <row r="218" spans="6:6" hidden="1" x14ac:dyDescent="0.25">
      <c r="F218" s="2"/>
    </row>
    <row r="219" spans="6:6" hidden="1" x14ac:dyDescent="0.25">
      <c r="F219" s="2"/>
    </row>
    <row r="220" spans="6:6" hidden="1" x14ac:dyDescent="0.25">
      <c r="F220" s="2"/>
    </row>
    <row r="221" spans="6:6" hidden="1" x14ac:dyDescent="0.25">
      <c r="F221" s="2"/>
    </row>
    <row r="222" spans="6:6" hidden="1" x14ac:dyDescent="0.25">
      <c r="F222" s="2"/>
    </row>
    <row r="223" spans="6:6" hidden="1" x14ac:dyDescent="0.25">
      <c r="F223" s="2"/>
    </row>
    <row r="224" spans="6:6" hidden="1" x14ac:dyDescent="0.25">
      <c r="F224" s="2"/>
    </row>
    <row r="225" spans="6:6" hidden="1" x14ac:dyDescent="0.25">
      <c r="F225" s="2"/>
    </row>
    <row r="226" spans="6:6" hidden="1" x14ac:dyDescent="0.25">
      <c r="F226" s="2"/>
    </row>
    <row r="227" spans="6:6" hidden="1" x14ac:dyDescent="0.25">
      <c r="F227" s="2"/>
    </row>
    <row r="228" spans="6:6" hidden="1" x14ac:dyDescent="0.25">
      <c r="F228" s="2"/>
    </row>
    <row r="229" spans="6:6" hidden="1" x14ac:dyDescent="0.25">
      <c r="F229" s="2"/>
    </row>
    <row r="230" spans="6:6" hidden="1" x14ac:dyDescent="0.25">
      <c r="F230" s="2"/>
    </row>
    <row r="231" spans="6:6" hidden="1" x14ac:dyDescent="0.25">
      <c r="F231" s="2"/>
    </row>
    <row r="232" spans="6:6" hidden="1" x14ac:dyDescent="0.25">
      <c r="F232" s="2"/>
    </row>
    <row r="233" spans="6:6" hidden="1" x14ac:dyDescent="0.25">
      <c r="F233" s="2"/>
    </row>
    <row r="234" spans="6:6" hidden="1" x14ac:dyDescent="0.25">
      <c r="F234" s="2"/>
    </row>
    <row r="235" spans="6:6" hidden="1" x14ac:dyDescent="0.25">
      <c r="F235" s="2"/>
    </row>
    <row r="236" spans="6:6" hidden="1" x14ac:dyDescent="0.25">
      <c r="F236" s="2"/>
    </row>
    <row r="237" spans="6:6" hidden="1" x14ac:dyDescent="0.25">
      <c r="F237" s="2"/>
    </row>
    <row r="238" spans="6:6" hidden="1" x14ac:dyDescent="0.25">
      <c r="F238" s="2"/>
    </row>
    <row r="239" spans="6:6" hidden="1" x14ac:dyDescent="0.25">
      <c r="F239" s="2"/>
    </row>
    <row r="240" spans="6:6" hidden="1" x14ac:dyDescent="0.25">
      <c r="F240" s="2"/>
    </row>
    <row r="241" spans="6:6" hidden="1" x14ac:dyDescent="0.25">
      <c r="F241" s="2"/>
    </row>
    <row r="242" spans="6:6" hidden="1" x14ac:dyDescent="0.25">
      <c r="F242" s="2"/>
    </row>
    <row r="243" spans="6:6" hidden="1" x14ac:dyDescent="0.25">
      <c r="F243" s="2"/>
    </row>
    <row r="244" spans="6:6" hidden="1" x14ac:dyDescent="0.25">
      <c r="F244" s="2"/>
    </row>
    <row r="245" spans="6:6" hidden="1" x14ac:dyDescent="0.25">
      <c r="F245" s="2"/>
    </row>
    <row r="246" spans="6:6" hidden="1" x14ac:dyDescent="0.25">
      <c r="F246" s="2"/>
    </row>
    <row r="247" spans="6:6" hidden="1" x14ac:dyDescent="0.25">
      <c r="F247" s="2"/>
    </row>
    <row r="248" spans="6:6" hidden="1" x14ac:dyDescent="0.25">
      <c r="F248" s="2"/>
    </row>
    <row r="249" spans="6:6" hidden="1" x14ac:dyDescent="0.25">
      <c r="F249" s="2"/>
    </row>
    <row r="250" spans="6:6" hidden="1" x14ac:dyDescent="0.25">
      <c r="F250" s="2"/>
    </row>
    <row r="251" spans="6:6" hidden="1" x14ac:dyDescent="0.25">
      <c r="F251" s="2"/>
    </row>
    <row r="252" spans="6:6" hidden="1" x14ac:dyDescent="0.25">
      <c r="F252" s="2"/>
    </row>
    <row r="253" spans="6:6" hidden="1" x14ac:dyDescent="0.25">
      <c r="F253" s="2"/>
    </row>
    <row r="254" spans="6:6" hidden="1" x14ac:dyDescent="0.25">
      <c r="F254" s="2"/>
    </row>
    <row r="255" spans="6:6" hidden="1" x14ac:dyDescent="0.25">
      <c r="F255" s="2"/>
    </row>
    <row r="256" spans="6:6" hidden="1" x14ac:dyDescent="0.25">
      <c r="F256" s="2"/>
    </row>
    <row r="257" spans="6:6" hidden="1" x14ac:dyDescent="0.25">
      <c r="F257" s="2"/>
    </row>
    <row r="258" spans="6:6" hidden="1" x14ac:dyDescent="0.25">
      <c r="F258" s="2"/>
    </row>
    <row r="259" spans="6:6" hidden="1" x14ac:dyDescent="0.25">
      <c r="F259" s="2"/>
    </row>
    <row r="260" spans="6:6" hidden="1" x14ac:dyDescent="0.25">
      <c r="F260" s="2"/>
    </row>
    <row r="261" spans="6:6" hidden="1" x14ac:dyDescent="0.25">
      <c r="F261" s="2"/>
    </row>
    <row r="262" spans="6:6" hidden="1" x14ac:dyDescent="0.25">
      <c r="F262" s="2"/>
    </row>
    <row r="263" spans="6:6" hidden="1" x14ac:dyDescent="0.25">
      <c r="F263" s="2"/>
    </row>
    <row r="264" spans="6:6" hidden="1" x14ac:dyDescent="0.25">
      <c r="F264" s="2"/>
    </row>
    <row r="265" spans="6:6" hidden="1" x14ac:dyDescent="0.25">
      <c r="F265" s="2"/>
    </row>
    <row r="266" spans="6:6" hidden="1" x14ac:dyDescent="0.25">
      <c r="F266" s="2"/>
    </row>
    <row r="267" spans="6:6" hidden="1" x14ac:dyDescent="0.25">
      <c r="F267" s="2"/>
    </row>
    <row r="268" spans="6:6" hidden="1" x14ac:dyDescent="0.25">
      <c r="F268" s="2"/>
    </row>
    <row r="269" spans="6:6" hidden="1" x14ac:dyDescent="0.25">
      <c r="F269" s="2"/>
    </row>
    <row r="270" spans="6:6" hidden="1" x14ac:dyDescent="0.25">
      <c r="F270" s="2"/>
    </row>
    <row r="271" spans="6:6" hidden="1" x14ac:dyDescent="0.25">
      <c r="F271" s="2"/>
    </row>
    <row r="272" spans="6:6" hidden="1" x14ac:dyDescent="0.25">
      <c r="F272" s="2"/>
    </row>
    <row r="273" spans="6:6" hidden="1" x14ac:dyDescent="0.25">
      <c r="F273" s="2"/>
    </row>
    <row r="274" spans="6:6" hidden="1" x14ac:dyDescent="0.25">
      <c r="F274" s="2"/>
    </row>
    <row r="275" spans="6:6" hidden="1" x14ac:dyDescent="0.25">
      <c r="F275" s="2"/>
    </row>
    <row r="276" spans="6:6" hidden="1" x14ac:dyDescent="0.25">
      <c r="F276" s="2"/>
    </row>
    <row r="277" spans="6:6" hidden="1" x14ac:dyDescent="0.25">
      <c r="F277" s="2"/>
    </row>
    <row r="278" spans="6:6" hidden="1" x14ac:dyDescent="0.25">
      <c r="F278" s="2"/>
    </row>
    <row r="279" spans="6:6" hidden="1" x14ac:dyDescent="0.25">
      <c r="F279" s="2"/>
    </row>
    <row r="280" spans="6:6" hidden="1" x14ac:dyDescent="0.25">
      <c r="F280" s="2"/>
    </row>
    <row r="281" spans="6:6" hidden="1" x14ac:dyDescent="0.25">
      <c r="F281" s="2"/>
    </row>
    <row r="282" spans="6:6" hidden="1" x14ac:dyDescent="0.25">
      <c r="F282" s="2"/>
    </row>
    <row r="283" spans="6:6" hidden="1" x14ac:dyDescent="0.25">
      <c r="F283" s="2"/>
    </row>
    <row r="284" spans="6:6" hidden="1" x14ac:dyDescent="0.25">
      <c r="F284" s="2"/>
    </row>
    <row r="285" spans="6:6" hidden="1" x14ac:dyDescent="0.25">
      <c r="F285" s="2"/>
    </row>
    <row r="286" spans="6:6" hidden="1" x14ac:dyDescent="0.25">
      <c r="F286" s="2"/>
    </row>
    <row r="287" spans="6:6" hidden="1" x14ac:dyDescent="0.25">
      <c r="F287" s="2"/>
    </row>
    <row r="288" spans="6:6" hidden="1" x14ac:dyDescent="0.25">
      <c r="F288" s="2"/>
    </row>
    <row r="289" spans="6:6" hidden="1" x14ac:dyDescent="0.25">
      <c r="F289" s="2"/>
    </row>
    <row r="290" spans="6:6" hidden="1" x14ac:dyDescent="0.25">
      <c r="F290" s="2"/>
    </row>
    <row r="291" spans="6:6" hidden="1" x14ac:dyDescent="0.25">
      <c r="F291" s="2"/>
    </row>
    <row r="292" spans="6:6" hidden="1" x14ac:dyDescent="0.25">
      <c r="F292" s="2"/>
    </row>
    <row r="293" spans="6:6" hidden="1" x14ac:dyDescent="0.25">
      <c r="F293" s="2"/>
    </row>
    <row r="294" spans="6:6" hidden="1" x14ac:dyDescent="0.25">
      <c r="F294" s="2"/>
    </row>
    <row r="295" spans="6:6" hidden="1" x14ac:dyDescent="0.25">
      <c r="F295" s="2"/>
    </row>
    <row r="296" spans="6:6" hidden="1" x14ac:dyDescent="0.25">
      <c r="F296" s="2"/>
    </row>
    <row r="297" spans="6:6" hidden="1" x14ac:dyDescent="0.25">
      <c r="F297" s="2"/>
    </row>
    <row r="298" spans="6:6" hidden="1" x14ac:dyDescent="0.25">
      <c r="F298" s="2"/>
    </row>
    <row r="299" spans="6:6" hidden="1" x14ac:dyDescent="0.25">
      <c r="F299" s="2"/>
    </row>
    <row r="300" spans="6:6" hidden="1" x14ac:dyDescent="0.25">
      <c r="F300" s="2"/>
    </row>
    <row r="301" spans="6:6" hidden="1" x14ac:dyDescent="0.25">
      <c r="F301" s="2"/>
    </row>
    <row r="302" spans="6:6" hidden="1" x14ac:dyDescent="0.25">
      <c r="F302" s="2"/>
    </row>
    <row r="303" spans="6:6" hidden="1" x14ac:dyDescent="0.25">
      <c r="F303" s="2"/>
    </row>
    <row r="304" spans="6:6" hidden="1" x14ac:dyDescent="0.25">
      <c r="F304" s="2"/>
    </row>
    <row r="305" spans="6:6" hidden="1" x14ac:dyDescent="0.25">
      <c r="F305" s="2"/>
    </row>
    <row r="306" spans="6:6" hidden="1" x14ac:dyDescent="0.25">
      <c r="F306" s="2"/>
    </row>
    <row r="307" spans="6:6" hidden="1" x14ac:dyDescent="0.25">
      <c r="F307" s="2"/>
    </row>
    <row r="308" spans="6:6" hidden="1" x14ac:dyDescent="0.25">
      <c r="F308" s="2"/>
    </row>
    <row r="309" spans="6:6" hidden="1" x14ac:dyDescent="0.25">
      <c r="F309" s="2"/>
    </row>
    <row r="310" spans="6:6" hidden="1" x14ac:dyDescent="0.25">
      <c r="F310" s="2"/>
    </row>
    <row r="311" spans="6:6" hidden="1" x14ac:dyDescent="0.25">
      <c r="F311" s="2"/>
    </row>
    <row r="312" spans="6:6" hidden="1" x14ac:dyDescent="0.25">
      <c r="F312" s="2"/>
    </row>
    <row r="313" spans="6:6" hidden="1" x14ac:dyDescent="0.25">
      <c r="F313" s="2"/>
    </row>
    <row r="314" spans="6:6" hidden="1" x14ac:dyDescent="0.25">
      <c r="F314" s="2"/>
    </row>
    <row r="315" spans="6:6" hidden="1" x14ac:dyDescent="0.25">
      <c r="F315" s="2"/>
    </row>
    <row r="316" spans="6:6" hidden="1" x14ac:dyDescent="0.25">
      <c r="F316" s="2"/>
    </row>
    <row r="317" spans="6:6" hidden="1" x14ac:dyDescent="0.25">
      <c r="F317" s="2"/>
    </row>
    <row r="318" spans="6:6" hidden="1" x14ac:dyDescent="0.25">
      <c r="F318" s="2"/>
    </row>
    <row r="319" spans="6:6" hidden="1" x14ac:dyDescent="0.25">
      <c r="F319" s="2"/>
    </row>
    <row r="320" spans="6:6" hidden="1" x14ac:dyDescent="0.25">
      <c r="F320" s="2"/>
    </row>
    <row r="321" spans="6:6" hidden="1" x14ac:dyDescent="0.25">
      <c r="F321" s="2"/>
    </row>
    <row r="322" spans="6:6" hidden="1" x14ac:dyDescent="0.25">
      <c r="F322" s="2"/>
    </row>
    <row r="323" spans="6:6" hidden="1" x14ac:dyDescent="0.25">
      <c r="F323" s="2"/>
    </row>
    <row r="324" spans="6:6" hidden="1" x14ac:dyDescent="0.25">
      <c r="F324" s="2"/>
    </row>
    <row r="325" spans="6:6" hidden="1" x14ac:dyDescent="0.25">
      <c r="F325" s="2"/>
    </row>
    <row r="326" spans="6:6" hidden="1" x14ac:dyDescent="0.25">
      <c r="F326" s="2"/>
    </row>
    <row r="327" spans="6:6" hidden="1" x14ac:dyDescent="0.25">
      <c r="F327" s="2"/>
    </row>
    <row r="328" spans="6:6" hidden="1" x14ac:dyDescent="0.25">
      <c r="F328" s="2"/>
    </row>
    <row r="329" spans="6:6" hidden="1" x14ac:dyDescent="0.25">
      <c r="F329" s="2"/>
    </row>
    <row r="330" spans="6:6" hidden="1" x14ac:dyDescent="0.25">
      <c r="F330" s="2"/>
    </row>
    <row r="331" spans="6:6" hidden="1" x14ac:dyDescent="0.25">
      <c r="F331" s="2"/>
    </row>
    <row r="332" spans="6:6" hidden="1" x14ac:dyDescent="0.25">
      <c r="F332" s="2"/>
    </row>
    <row r="333" spans="6:6" hidden="1" x14ac:dyDescent="0.25">
      <c r="F333" s="2"/>
    </row>
    <row r="334" spans="6:6" hidden="1" x14ac:dyDescent="0.25">
      <c r="F334" s="2"/>
    </row>
    <row r="335" spans="6:6" hidden="1" x14ac:dyDescent="0.25">
      <c r="F335" s="2"/>
    </row>
    <row r="336" spans="6:6" hidden="1" x14ac:dyDescent="0.25">
      <c r="F336" s="2"/>
    </row>
    <row r="337" spans="6:6" hidden="1" x14ac:dyDescent="0.25">
      <c r="F337" s="2"/>
    </row>
    <row r="338" spans="6:6" hidden="1" x14ac:dyDescent="0.25">
      <c r="F338" s="2"/>
    </row>
    <row r="339" spans="6:6" hidden="1" x14ac:dyDescent="0.25">
      <c r="F339" s="2"/>
    </row>
    <row r="340" spans="6:6" hidden="1" x14ac:dyDescent="0.25">
      <c r="F340" s="2"/>
    </row>
    <row r="341" spans="6:6" hidden="1" x14ac:dyDescent="0.25">
      <c r="F341" s="2"/>
    </row>
    <row r="342" spans="6:6" hidden="1" x14ac:dyDescent="0.25">
      <c r="F342" s="2"/>
    </row>
    <row r="343" spans="6:6" hidden="1" x14ac:dyDescent="0.25">
      <c r="F343" s="2"/>
    </row>
    <row r="344" spans="6:6" hidden="1" x14ac:dyDescent="0.25">
      <c r="F344" s="2"/>
    </row>
    <row r="345" spans="6:6" hidden="1" x14ac:dyDescent="0.25">
      <c r="F345" s="2"/>
    </row>
    <row r="346" spans="6:6" hidden="1" x14ac:dyDescent="0.25">
      <c r="F346" s="2"/>
    </row>
    <row r="347" spans="6:6" hidden="1" x14ac:dyDescent="0.25">
      <c r="F347" s="2"/>
    </row>
    <row r="348" spans="6:6" hidden="1" x14ac:dyDescent="0.25">
      <c r="F348" s="2"/>
    </row>
    <row r="349" spans="6:6" hidden="1" x14ac:dyDescent="0.25">
      <c r="F349" s="2"/>
    </row>
    <row r="350" spans="6:6" hidden="1" x14ac:dyDescent="0.25">
      <c r="F350" s="2"/>
    </row>
    <row r="351" spans="6:6" hidden="1" x14ac:dyDescent="0.25">
      <c r="F351" s="2"/>
    </row>
    <row r="352" spans="6:6" hidden="1" x14ac:dyDescent="0.25">
      <c r="F352" s="2"/>
    </row>
    <row r="353" spans="6:6" hidden="1" x14ac:dyDescent="0.25">
      <c r="F353" s="2"/>
    </row>
    <row r="354" spans="6:6" hidden="1" x14ac:dyDescent="0.25">
      <c r="F354" s="2"/>
    </row>
    <row r="355" spans="6:6" hidden="1" x14ac:dyDescent="0.25">
      <c r="F355" s="2"/>
    </row>
    <row r="356" spans="6:6" hidden="1" x14ac:dyDescent="0.25">
      <c r="F356" s="2"/>
    </row>
    <row r="357" spans="6:6" hidden="1" x14ac:dyDescent="0.25">
      <c r="F357" s="2"/>
    </row>
    <row r="358" spans="6:6" hidden="1" x14ac:dyDescent="0.25">
      <c r="F358" s="2"/>
    </row>
    <row r="359" spans="6:6" hidden="1" x14ac:dyDescent="0.25">
      <c r="F359" s="2"/>
    </row>
    <row r="360" spans="6:6" hidden="1" x14ac:dyDescent="0.25">
      <c r="F360" s="2"/>
    </row>
    <row r="361" spans="6:6" hidden="1" x14ac:dyDescent="0.25">
      <c r="F361" s="2"/>
    </row>
    <row r="362" spans="6:6" hidden="1" x14ac:dyDescent="0.25">
      <c r="F362" s="2"/>
    </row>
    <row r="363" spans="6:6" hidden="1" x14ac:dyDescent="0.25">
      <c r="F363" s="2"/>
    </row>
    <row r="364" spans="6:6" hidden="1" x14ac:dyDescent="0.25">
      <c r="F364" s="2"/>
    </row>
    <row r="365" spans="6:6" hidden="1" x14ac:dyDescent="0.25">
      <c r="F365" s="2"/>
    </row>
    <row r="366" spans="6:6" hidden="1" x14ac:dyDescent="0.25">
      <c r="F366" s="2"/>
    </row>
    <row r="367" spans="6:6" hidden="1" x14ac:dyDescent="0.25">
      <c r="F367" s="2"/>
    </row>
    <row r="368" spans="6:6" hidden="1" x14ac:dyDescent="0.25">
      <c r="F368" s="2"/>
    </row>
    <row r="369" spans="6:6" hidden="1" x14ac:dyDescent="0.25">
      <c r="F369" s="2"/>
    </row>
    <row r="370" spans="6:6" hidden="1" x14ac:dyDescent="0.25">
      <c r="F370" s="2"/>
    </row>
    <row r="371" spans="6:6" hidden="1" x14ac:dyDescent="0.25">
      <c r="F371" s="2"/>
    </row>
    <row r="372" spans="6:6" hidden="1" x14ac:dyDescent="0.25">
      <c r="F372" s="2"/>
    </row>
    <row r="373" spans="6:6" hidden="1" x14ac:dyDescent="0.25">
      <c r="F373" s="2"/>
    </row>
    <row r="374" spans="6:6" hidden="1" x14ac:dyDescent="0.25">
      <c r="F374" s="2"/>
    </row>
    <row r="375" spans="6:6" hidden="1" x14ac:dyDescent="0.25">
      <c r="F375" s="2"/>
    </row>
    <row r="376" spans="6:6" hidden="1" x14ac:dyDescent="0.25">
      <c r="F376" s="2"/>
    </row>
    <row r="377" spans="6:6" hidden="1" x14ac:dyDescent="0.25">
      <c r="F377" s="2"/>
    </row>
    <row r="378" spans="6:6" hidden="1" x14ac:dyDescent="0.25">
      <c r="F378" s="2"/>
    </row>
    <row r="379" spans="6:6" hidden="1" x14ac:dyDescent="0.25">
      <c r="F379" s="2"/>
    </row>
    <row r="380" spans="6:6" hidden="1" x14ac:dyDescent="0.25">
      <c r="F380" s="2"/>
    </row>
    <row r="381" spans="6:6" hidden="1" x14ac:dyDescent="0.25">
      <c r="F381" s="2"/>
    </row>
    <row r="382" spans="6:6" hidden="1" x14ac:dyDescent="0.25">
      <c r="F382" s="2"/>
    </row>
    <row r="383" spans="6:6" hidden="1" x14ac:dyDescent="0.25">
      <c r="F383" s="2"/>
    </row>
    <row r="384" spans="6:6" hidden="1" x14ac:dyDescent="0.25">
      <c r="F384" s="2"/>
    </row>
    <row r="385" spans="6:6" hidden="1" x14ac:dyDescent="0.25">
      <c r="F385" s="2"/>
    </row>
    <row r="386" spans="6:6" hidden="1" x14ac:dyDescent="0.25">
      <c r="F386" s="2"/>
    </row>
    <row r="387" spans="6:6" hidden="1" x14ac:dyDescent="0.25">
      <c r="F387" s="2"/>
    </row>
    <row r="388" spans="6:6" hidden="1" x14ac:dyDescent="0.25">
      <c r="F388" s="2"/>
    </row>
    <row r="389" spans="6:6" hidden="1" x14ac:dyDescent="0.25">
      <c r="F389" s="2"/>
    </row>
    <row r="390" spans="6:6" hidden="1" x14ac:dyDescent="0.25">
      <c r="F390" s="2"/>
    </row>
    <row r="391" spans="6:6" hidden="1" x14ac:dyDescent="0.25">
      <c r="F391" s="2"/>
    </row>
    <row r="392" spans="6:6" hidden="1" x14ac:dyDescent="0.25">
      <c r="F392" s="2"/>
    </row>
    <row r="393" spans="6:6" hidden="1" x14ac:dyDescent="0.25">
      <c r="F393" s="2"/>
    </row>
    <row r="394" spans="6:6" hidden="1" x14ac:dyDescent="0.25">
      <c r="F394" s="2"/>
    </row>
    <row r="395" spans="6:6" hidden="1" x14ac:dyDescent="0.25">
      <c r="F395" s="2"/>
    </row>
    <row r="396" spans="6:6" hidden="1" x14ac:dyDescent="0.25">
      <c r="F396" s="2"/>
    </row>
    <row r="397" spans="6:6" hidden="1" x14ac:dyDescent="0.25">
      <c r="F397" s="2"/>
    </row>
    <row r="398" spans="6:6" hidden="1" x14ac:dyDescent="0.25">
      <c r="F398" s="2"/>
    </row>
    <row r="399" spans="6:6" hidden="1" x14ac:dyDescent="0.25">
      <c r="F399" s="2"/>
    </row>
    <row r="400" spans="6:6" hidden="1" x14ac:dyDescent="0.25">
      <c r="F400" s="2"/>
    </row>
    <row r="401" spans="6:6" hidden="1" x14ac:dyDescent="0.25">
      <c r="F401" s="2"/>
    </row>
    <row r="402" spans="6:6" hidden="1" x14ac:dyDescent="0.25">
      <c r="F402" s="2"/>
    </row>
    <row r="403" spans="6:6" hidden="1" x14ac:dyDescent="0.25">
      <c r="F403" s="2"/>
    </row>
    <row r="404" spans="6:6" hidden="1" x14ac:dyDescent="0.25">
      <c r="F404" s="2"/>
    </row>
    <row r="405" spans="6:6" hidden="1" x14ac:dyDescent="0.25">
      <c r="F405" s="2"/>
    </row>
    <row r="406" spans="6:6" hidden="1" x14ac:dyDescent="0.25">
      <c r="F406" s="2"/>
    </row>
    <row r="407" spans="6:6" hidden="1" x14ac:dyDescent="0.25">
      <c r="F407" s="2"/>
    </row>
    <row r="408" spans="6:6" hidden="1" x14ac:dyDescent="0.25">
      <c r="F408" s="2"/>
    </row>
    <row r="409" spans="6:6" hidden="1" x14ac:dyDescent="0.25">
      <c r="F409" s="2"/>
    </row>
    <row r="410" spans="6:6" hidden="1" x14ac:dyDescent="0.25">
      <c r="F410" s="2"/>
    </row>
    <row r="411" spans="6:6" hidden="1" x14ac:dyDescent="0.25">
      <c r="F411" s="2"/>
    </row>
    <row r="412" spans="6:6" hidden="1" x14ac:dyDescent="0.25">
      <c r="F412" s="2"/>
    </row>
    <row r="413" spans="6:6" hidden="1" x14ac:dyDescent="0.25">
      <c r="F413" s="2"/>
    </row>
    <row r="414" spans="6:6" hidden="1" x14ac:dyDescent="0.25">
      <c r="F414" s="2"/>
    </row>
    <row r="415" spans="6:6" hidden="1" x14ac:dyDescent="0.25">
      <c r="F415" s="2"/>
    </row>
    <row r="416" spans="6:6" hidden="1" x14ac:dyDescent="0.25">
      <c r="F416" s="2"/>
    </row>
    <row r="417" spans="6:6" hidden="1" x14ac:dyDescent="0.25">
      <c r="F417" s="2"/>
    </row>
    <row r="418" spans="6:6" hidden="1" x14ac:dyDescent="0.25">
      <c r="F418" s="2"/>
    </row>
    <row r="419" spans="6:6" hidden="1" x14ac:dyDescent="0.25">
      <c r="F419" s="2"/>
    </row>
    <row r="420" spans="6:6" hidden="1" x14ac:dyDescent="0.25">
      <c r="F420" s="2"/>
    </row>
    <row r="421" spans="6:6" hidden="1" x14ac:dyDescent="0.25">
      <c r="F421" s="2"/>
    </row>
    <row r="422" spans="6:6" hidden="1" x14ac:dyDescent="0.25">
      <c r="F422" s="2"/>
    </row>
    <row r="423" spans="6:6" hidden="1" x14ac:dyDescent="0.25">
      <c r="F423" s="2"/>
    </row>
    <row r="424" spans="6:6" hidden="1" x14ac:dyDescent="0.25">
      <c r="F424" s="2"/>
    </row>
    <row r="425" spans="6:6" hidden="1" x14ac:dyDescent="0.25">
      <c r="F425" s="2"/>
    </row>
    <row r="426" spans="6:6" hidden="1" x14ac:dyDescent="0.25">
      <c r="F426" s="2"/>
    </row>
    <row r="427" spans="6:6" hidden="1" x14ac:dyDescent="0.25">
      <c r="F427" s="2"/>
    </row>
    <row r="428" spans="6:6" hidden="1" x14ac:dyDescent="0.25">
      <c r="F428" s="2"/>
    </row>
    <row r="429" spans="6:6" hidden="1" x14ac:dyDescent="0.25">
      <c r="F429" s="2"/>
    </row>
    <row r="430" spans="6:6" hidden="1" x14ac:dyDescent="0.25">
      <c r="F430" s="2"/>
    </row>
    <row r="431" spans="6:6" hidden="1" x14ac:dyDescent="0.25">
      <c r="F431" s="2"/>
    </row>
    <row r="432" spans="6:6" hidden="1" x14ac:dyDescent="0.25">
      <c r="F432" s="2"/>
    </row>
    <row r="433" spans="6:6" hidden="1" x14ac:dyDescent="0.25">
      <c r="F433" s="2"/>
    </row>
    <row r="434" spans="6:6" hidden="1" x14ac:dyDescent="0.25">
      <c r="F434" s="2"/>
    </row>
    <row r="435" spans="6:6" hidden="1" x14ac:dyDescent="0.25">
      <c r="F435" s="2"/>
    </row>
    <row r="436" spans="6:6" hidden="1" x14ac:dyDescent="0.25">
      <c r="F436" s="2"/>
    </row>
    <row r="437" spans="6:6" hidden="1" x14ac:dyDescent="0.25">
      <c r="F437" s="2"/>
    </row>
    <row r="438" spans="6:6" hidden="1" x14ac:dyDescent="0.25">
      <c r="F438" s="2"/>
    </row>
    <row r="439" spans="6:6" hidden="1" x14ac:dyDescent="0.25">
      <c r="F439" s="2"/>
    </row>
    <row r="440" spans="6:6" hidden="1" x14ac:dyDescent="0.25">
      <c r="F440" s="2"/>
    </row>
    <row r="441" spans="6:6" hidden="1" x14ac:dyDescent="0.25">
      <c r="F441" s="2"/>
    </row>
    <row r="442" spans="6:6" hidden="1" x14ac:dyDescent="0.25">
      <c r="F442" s="2"/>
    </row>
    <row r="443" spans="6:6" hidden="1" x14ac:dyDescent="0.25">
      <c r="F443" s="2"/>
    </row>
    <row r="444" spans="6:6" hidden="1" x14ac:dyDescent="0.25">
      <c r="F444" s="2"/>
    </row>
    <row r="445" spans="6:6" hidden="1" x14ac:dyDescent="0.25">
      <c r="F445" s="2"/>
    </row>
    <row r="446" spans="6:6" hidden="1" x14ac:dyDescent="0.25">
      <c r="F446" s="2"/>
    </row>
    <row r="447" spans="6:6" hidden="1" x14ac:dyDescent="0.25">
      <c r="F447" s="2"/>
    </row>
    <row r="448" spans="6:6" hidden="1" x14ac:dyDescent="0.25">
      <c r="F448" s="2"/>
    </row>
    <row r="449" spans="6:6" hidden="1" x14ac:dyDescent="0.25">
      <c r="F449" s="2"/>
    </row>
    <row r="450" spans="6:6" hidden="1" x14ac:dyDescent="0.25">
      <c r="F450" s="2"/>
    </row>
    <row r="451" spans="6:6" hidden="1" x14ac:dyDescent="0.25">
      <c r="F451" s="2"/>
    </row>
    <row r="452" spans="6:6" hidden="1" x14ac:dyDescent="0.25">
      <c r="F452" s="2"/>
    </row>
    <row r="453" spans="6:6" hidden="1" x14ac:dyDescent="0.25">
      <c r="F453" s="2"/>
    </row>
    <row r="454" spans="6:6" hidden="1" x14ac:dyDescent="0.25">
      <c r="F454" s="2"/>
    </row>
    <row r="455" spans="6:6" hidden="1" x14ac:dyDescent="0.25">
      <c r="F455" s="2"/>
    </row>
    <row r="456" spans="6:6" hidden="1" x14ac:dyDescent="0.25">
      <c r="F456" s="2"/>
    </row>
    <row r="457" spans="6:6" hidden="1" x14ac:dyDescent="0.25">
      <c r="F457" s="2"/>
    </row>
    <row r="458" spans="6:6" hidden="1" x14ac:dyDescent="0.25">
      <c r="F458" s="2"/>
    </row>
    <row r="459" spans="6:6" hidden="1" x14ac:dyDescent="0.25">
      <c r="F459" s="2"/>
    </row>
    <row r="460" spans="6:6" hidden="1" x14ac:dyDescent="0.25">
      <c r="F460" s="2"/>
    </row>
    <row r="461" spans="6:6" hidden="1" x14ac:dyDescent="0.25">
      <c r="F461" s="2"/>
    </row>
    <row r="462" spans="6:6" hidden="1" x14ac:dyDescent="0.25">
      <c r="F462" s="2"/>
    </row>
    <row r="463" spans="6:6" hidden="1" x14ac:dyDescent="0.25">
      <c r="F463" s="2"/>
    </row>
    <row r="464" spans="6:6" hidden="1" x14ac:dyDescent="0.25">
      <c r="F464" s="2"/>
    </row>
    <row r="465" spans="6:6" hidden="1" x14ac:dyDescent="0.25">
      <c r="F465" s="2"/>
    </row>
    <row r="466" spans="6:6" hidden="1" x14ac:dyDescent="0.25">
      <c r="F466" s="2"/>
    </row>
    <row r="467" spans="6:6" hidden="1" x14ac:dyDescent="0.25">
      <c r="F467" s="2"/>
    </row>
    <row r="468" spans="6:6" hidden="1" x14ac:dyDescent="0.25">
      <c r="F468" s="2"/>
    </row>
    <row r="469" spans="6:6" hidden="1" x14ac:dyDescent="0.25">
      <c r="F469" s="2"/>
    </row>
    <row r="470" spans="6:6" hidden="1" x14ac:dyDescent="0.25">
      <c r="F470" s="2"/>
    </row>
    <row r="471" spans="6:6" hidden="1" x14ac:dyDescent="0.25">
      <c r="F471" s="2"/>
    </row>
    <row r="472" spans="6:6" hidden="1" x14ac:dyDescent="0.25">
      <c r="F472" s="2"/>
    </row>
    <row r="473" spans="6:6" hidden="1" x14ac:dyDescent="0.25">
      <c r="F473" s="2"/>
    </row>
    <row r="474" spans="6:6" hidden="1" x14ac:dyDescent="0.25">
      <c r="F474" s="2"/>
    </row>
    <row r="475" spans="6:6" hidden="1" x14ac:dyDescent="0.25">
      <c r="F475" s="2"/>
    </row>
    <row r="476" spans="6:6" hidden="1" x14ac:dyDescent="0.25">
      <c r="F476" s="2"/>
    </row>
    <row r="477" spans="6:6" hidden="1" x14ac:dyDescent="0.25">
      <c r="F477" s="2"/>
    </row>
    <row r="478" spans="6:6" hidden="1" x14ac:dyDescent="0.25">
      <c r="F478" s="2"/>
    </row>
    <row r="479" spans="6:6" hidden="1" x14ac:dyDescent="0.25">
      <c r="F479" s="2"/>
    </row>
    <row r="480" spans="6:6" hidden="1" x14ac:dyDescent="0.25">
      <c r="F480" s="2"/>
    </row>
    <row r="481" spans="6:6" hidden="1" x14ac:dyDescent="0.25">
      <c r="F481" s="2"/>
    </row>
    <row r="482" spans="6:6" hidden="1" x14ac:dyDescent="0.25">
      <c r="F482" s="2"/>
    </row>
    <row r="483" spans="6:6" hidden="1" x14ac:dyDescent="0.25">
      <c r="F483" s="2"/>
    </row>
    <row r="484" spans="6:6" hidden="1" x14ac:dyDescent="0.25">
      <c r="F484" s="2"/>
    </row>
    <row r="485" spans="6:6" hidden="1" x14ac:dyDescent="0.25">
      <c r="F485" s="2"/>
    </row>
    <row r="486" spans="6:6" hidden="1" x14ac:dyDescent="0.25">
      <c r="F486" s="2"/>
    </row>
    <row r="487" spans="6:6" hidden="1" x14ac:dyDescent="0.25">
      <c r="F487" s="2"/>
    </row>
    <row r="488" spans="6:6" hidden="1" x14ac:dyDescent="0.25">
      <c r="F488" s="2"/>
    </row>
    <row r="489" spans="6:6" hidden="1" x14ac:dyDescent="0.25">
      <c r="F489" s="2"/>
    </row>
    <row r="490" spans="6:6" hidden="1" x14ac:dyDescent="0.25">
      <c r="F490" s="2"/>
    </row>
    <row r="491" spans="6:6" hidden="1" x14ac:dyDescent="0.25">
      <c r="F491" s="2"/>
    </row>
    <row r="492" spans="6:6" hidden="1" x14ac:dyDescent="0.25">
      <c r="F492" s="2"/>
    </row>
    <row r="493" spans="6:6" hidden="1" x14ac:dyDescent="0.25">
      <c r="F493" s="2"/>
    </row>
    <row r="494" spans="6:6" hidden="1" x14ac:dyDescent="0.25">
      <c r="F494" s="2"/>
    </row>
    <row r="495" spans="6:6" hidden="1" x14ac:dyDescent="0.25">
      <c r="F495" s="2"/>
    </row>
    <row r="496" spans="6:6" hidden="1" x14ac:dyDescent="0.25">
      <c r="F496" s="2"/>
    </row>
    <row r="497" spans="6:6" hidden="1" x14ac:dyDescent="0.25">
      <c r="F497" s="2"/>
    </row>
    <row r="498" spans="6:6" hidden="1" x14ac:dyDescent="0.25">
      <c r="F498" s="2"/>
    </row>
    <row r="499" spans="6:6" hidden="1" x14ac:dyDescent="0.25">
      <c r="F499" s="2"/>
    </row>
    <row r="500" spans="6:6" hidden="1" x14ac:dyDescent="0.25">
      <c r="F500" s="2"/>
    </row>
    <row r="501" spans="6:6" hidden="1" x14ac:dyDescent="0.25">
      <c r="F501" s="2"/>
    </row>
    <row r="502" spans="6:6" hidden="1" x14ac:dyDescent="0.25">
      <c r="F502" s="2"/>
    </row>
    <row r="503" spans="6:6" hidden="1" x14ac:dyDescent="0.25">
      <c r="F503" s="2"/>
    </row>
    <row r="504" spans="6:6" hidden="1" x14ac:dyDescent="0.25">
      <c r="F504" s="2"/>
    </row>
    <row r="505" spans="6:6" hidden="1" x14ac:dyDescent="0.25">
      <c r="F505" s="2"/>
    </row>
    <row r="506" spans="6:6" hidden="1" x14ac:dyDescent="0.25">
      <c r="F506" s="2"/>
    </row>
    <row r="507" spans="6:6" hidden="1" x14ac:dyDescent="0.25">
      <c r="F507" s="2"/>
    </row>
    <row r="508" spans="6:6" hidden="1" x14ac:dyDescent="0.25">
      <c r="F508" s="2"/>
    </row>
    <row r="509" spans="6:6" hidden="1" x14ac:dyDescent="0.25">
      <c r="F509" s="2"/>
    </row>
    <row r="510" spans="6:6" hidden="1" x14ac:dyDescent="0.25">
      <c r="F510" s="2"/>
    </row>
    <row r="511" spans="6:6" hidden="1" x14ac:dyDescent="0.25">
      <c r="F511" s="2"/>
    </row>
    <row r="512" spans="6:6" hidden="1" x14ac:dyDescent="0.25">
      <c r="F512" s="2"/>
    </row>
    <row r="513" spans="6:6" hidden="1" x14ac:dyDescent="0.25">
      <c r="F513" s="2"/>
    </row>
    <row r="514" spans="6:6" hidden="1" x14ac:dyDescent="0.25">
      <c r="F514" s="2"/>
    </row>
    <row r="515" spans="6:6" hidden="1" x14ac:dyDescent="0.25">
      <c r="F515" s="2"/>
    </row>
    <row r="516" spans="6:6" hidden="1" x14ac:dyDescent="0.25">
      <c r="F516" s="2"/>
    </row>
    <row r="517" spans="6:6" hidden="1" x14ac:dyDescent="0.25">
      <c r="F517" s="2"/>
    </row>
    <row r="518" spans="6:6" hidden="1" x14ac:dyDescent="0.25">
      <c r="F518" s="2"/>
    </row>
    <row r="519" spans="6:6" hidden="1" x14ac:dyDescent="0.25">
      <c r="F519" s="2"/>
    </row>
    <row r="520" spans="6:6" hidden="1" x14ac:dyDescent="0.25">
      <c r="F520" s="2"/>
    </row>
    <row r="521" spans="6:6" hidden="1" x14ac:dyDescent="0.25">
      <c r="F521" s="2"/>
    </row>
    <row r="522" spans="6:6" hidden="1" x14ac:dyDescent="0.25">
      <c r="F522" s="2"/>
    </row>
    <row r="523" spans="6:6" hidden="1" x14ac:dyDescent="0.25">
      <c r="F523" s="2"/>
    </row>
    <row r="524" spans="6:6" hidden="1" x14ac:dyDescent="0.25">
      <c r="F524" s="2"/>
    </row>
    <row r="525" spans="6:6" hidden="1" x14ac:dyDescent="0.25">
      <c r="F525" s="2"/>
    </row>
    <row r="526" spans="6:6" hidden="1" x14ac:dyDescent="0.25">
      <c r="F526" s="2"/>
    </row>
    <row r="527" spans="6:6" hidden="1" x14ac:dyDescent="0.25">
      <c r="F527" s="2"/>
    </row>
    <row r="528" spans="6:6" hidden="1" x14ac:dyDescent="0.25">
      <c r="F528" s="2"/>
    </row>
    <row r="529" spans="6:6" hidden="1" x14ac:dyDescent="0.25">
      <c r="F529" s="2"/>
    </row>
    <row r="530" spans="6:6" hidden="1" x14ac:dyDescent="0.25">
      <c r="F530" s="2"/>
    </row>
    <row r="531" spans="6:6" hidden="1" x14ac:dyDescent="0.25">
      <c r="F531" s="2"/>
    </row>
    <row r="532" spans="6:6" hidden="1" x14ac:dyDescent="0.25">
      <c r="F532" s="2"/>
    </row>
    <row r="533" spans="6:6" hidden="1" x14ac:dyDescent="0.25">
      <c r="F533" s="2"/>
    </row>
    <row r="534" spans="6:6" hidden="1" x14ac:dyDescent="0.25">
      <c r="F534" s="2"/>
    </row>
    <row r="535" spans="6:6" hidden="1" x14ac:dyDescent="0.25">
      <c r="F535" s="2"/>
    </row>
    <row r="536" spans="6:6" hidden="1" x14ac:dyDescent="0.25">
      <c r="F536" s="2"/>
    </row>
    <row r="537" spans="6:6" hidden="1" x14ac:dyDescent="0.25">
      <c r="F537" s="2"/>
    </row>
    <row r="538" spans="6:6" hidden="1" x14ac:dyDescent="0.25">
      <c r="F538" s="2"/>
    </row>
    <row r="539" spans="6:6" hidden="1" x14ac:dyDescent="0.25">
      <c r="F539" s="2"/>
    </row>
    <row r="540" spans="6:6" hidden="1" x14ac:dyDescent="0.25">
      <c r="F540" s="2"/>
    </row>
    <row r="541" spans="6:6" hidden="1" x14ac:dyDescent="0.25">
      <c r="F541" s="2"/>
    </row>
    <row r="542" spans="6:6" hidden="1" x14ac:dyDescent="0.25">
      <c r="F542" s="2"/>
    </row>
    <row r="543" spans="6:6" hidden="1" x14ac:dyDescent="0.25">
      <c r="F543" s="2"/>
    </row>
    <row r="544" spans="6:6" hidden="1" x14ac:dyDescent="0.25">
      <c r="F544" s="2"/>
    </row>
    <row r="545" spans="6:6" hidden="1" x14ac:dyDescent="0.25">
      <c r="F545" s="2"/>
    </row>
    <row r="546" spans="6:6" hidden="1" x14ac:dyDescent="0.25">
      <c r="F546" s="2"/>
    </row>
    <row r="547" spans="6:6" hidden="1" x14ac:dyDescent="0.25">
      <c r="F547" s="2"/>
    </row>
    <row r="548" spans="6:6" hidden="1" x14ac:dyDescent="0.25">
      <c r="F548" s="2"/>
    </row>
    <row r="549" spans="6:6" hidden="1" x14ac:dyDescent="0.25">
      <c r="F549" s="2"/>
    </row>
    <row r="550" spans="6:6" hidden="1" x14ac:dyDescent="0.25">
      <c r="F550" s="2"/>
    </row>
    <row r="551" spans="6:6" hidden="1" x14ac:dyDescent="0.25">
      <c r="F551" s="2"/>
    </row>
    <row r="552" spans="6:6" hidden="1" x14ac:dyDescent="0.25">
      <c r="F552" s="2"/>
    </row>
    <row r="553" spans="6:6" hidden="1" x14ac:dyDescent="0.25">
      <c r="F553" s="2"/>
    </row>
    <row r="554" spans="6:6" hidden="1" x14ac:dyDescent="0.25">
      <c r="F554" s="2"/>
    </row>
    <row r="555" spans="6:6" hidden="1" x14ac:dyDescent="0.25">
      <c r="F555" s="2"/>
    </row>
    <row r="556" spans="6:6" hidden="1" x14ac:dyDescent="0.25">
      <c r="F556" s="2"/>
    </row>
    <row r="557" spans="6:6" hidden="1" x14ac:dyDescent="0.25">
      <c r="F557" s="2"/>
    </row>
    <row r="558" spans="6:6" hidden="1" x14ac:dyDescent="0.25">
      <c r="F558" s="2"/>
    </row>
    <row r="559" spans="6:6" hidden="1" x14ac:dyDescent="0.25">
      <c r="F559" s="2"/>
    </row>
    <row r="560" spans="6:6" hidden="1" x14ac:dyDescent="0.25">
      <c r="F560" s="2"/>
    </row>
    <row r="561" spans="6:6" hidden="1" x14ac:dyDescent="0.25">
      <c r="F561" s="2"/>
    </row>
    <row r="562" spans="6:6" hidden="1" x14ac:dyDescent="0.25">
      <c r="F562" s="2"/>
    </row>
    <row r="563" spans="6:6" hidden="1" x14ac:dyDescent="0.25">
      <c r="F563" s="2"/>
    </row>
    <row r="564" spans="6:6" hidden="1" x14ac:dyDescent="0.25">
      <c r="F564" s="2"/>
    </row>
    <row r="565" spans="6:6" hidden="1" x14ac:dyDescent="0.25">
      <c r="F565" s="2"/>
    </row>
    <row r="566" spans="6:6" hidden="1" x14ac:dyDescent="0.25">
      <c r="F566" s="2"/>
    </row>
    <row r="567" spans="6:6" hidden="1" x14ac:dyDescent="0.25">
      <c r="F567" s="2"/>
    </row>
    <row r="568" spans="6:6" hidden="1" x14ac:dyDescent="0.25">
      <c r="F568" s="2"/>
    </row>
    <row r="569" spans="6:6" hidden="1" x14ac:dyDescent="0.25">
      <c r="F569" s="2"/>
    </row>
    <row r="570" spans="6:6" hidden="1" x14ac:dyDescent="0.25">
      <c r="F570" s="2"/>
    </row>
    <row r="571" spans="6:6" hidden="1" x14ac:dyDescent="0.25">
      <c r="F571" s="2"/>
    </row>
    <row r="572" spans="6:6" hidden="1" x14ac:dyDescent="0.25">
      <c r="F572" s="2"/>
    </row>
    <row r="573" spans="6:6" hidden="1" x14ac:dyDescent="0.25">
      <c r="F573" s="2"/>
    </row>
    <row r="574" spans="6:6" hidden="1" x14ac:dyDescent="0.25">
      <c r="F574" s="2"/>
    </row>
    <row r="575" spans="6:6" hidden="1" x14ac:dyDescent="0.25">
      <c r="F575" s="2"/>
    </row>
    <row r="576" spans="6:6" hidden="1" x14ac:dyDescent="0.25">
      <c r="F576" s="2"/>
    </row>
    <row r="577" spans="6:6" hidden="1" x14ac:dyDescent="0.25">
      <c r="F577" s="2"/>
    </row>
    <row r="578" spans="6:6" hidden="1" x14ac:dyDescent="0.25">
      <c r="F578" s="2"/>
    </row>
    <row r="579" spans="6:6" hidden="1" x14ac:dyDescent="0.25">
      <c r="F579" s="2"/>
    </row>
    <row r="580" spans="6:6" hidden="1" x14ac:dyDescent="0.25">
      <c r="F580" s="2"/>
    </row>
    <row r="581" spans="6:6" hidden="1" x14ac:dyDescent="0.25">
      <c r="F581" s="2"/>
    </row>
    <row r="582" spans="6:6" hidden="1" x14ac:dyDescent="0.25">
      <c r="F582" s="2"/>
    </row>
    <row r="583" spans="6:6" hidden="1" x14ac:dyDescent="0.25">
      <c r="F583" s="2"/>
    </row>
    <row r="584" spans="6:6" hidden="1" x14ac:dyDescent="0.25">
      <c r="F584" s="2"/>
    </row>
    <row r="585" spans="6:6" hidden="1" x14ac:dyDescent="0.25">
      <c r="F585" s="2"/>
    </row>
    <row r="586" spans="6:6" hidden="1" x14ac:dyDescent="0.25">
      <c r="F586" s="2"/>
    </row>
    <row r="587" spans="6:6" hidden="1" x14ac:dyDescent="0.25">
      <c r="F587" s="2"/>
    </row>
    <row r="588" spans="6:6" hidden="1" x14ac:dyDescent="0.25">
      <c r="F588" s="2"/>
    </row>
    <row r="589" spans="6:6" hidden="1" x14ac:dyDescent="0.25">
      <c r="F589" s="2"/>
    </row>
    <row r="590" spans="6:6" hidden="1" x14ac:dyDescent="0.25">
      <c r="F590" s="2"/>
    </row>
    <row r="591" spans="6:6" hidden="1" x14ac:dyDescent="0.25">
      <c r="F591" s="2"/>
    </row>
    <row r="592" spans="6:6" hidden="1" x14ac:dyDescent="0.25">
      <c r="F592" s="2"/>
    </row>
    <row r="593" spans="6:6" hidden="1" x14ac:dyDescent="0.25">
      <c r="F593" s="2"/>
    </row>
    <row r="594" spans="6:6" hidden="1" x14ac:dyDescent="0.25">
      <c r="F594" s="2"/>
    </row>
    <row r="595" spans="6:6" hidden="1" x14ac:dyDescent="0.25">
      <c r="F595" s="2"/>
    </row>
    <row r="596" spans="6:6" hidden="1" x14ac:dyDescent="0.25">
      <c r="F596" s="2"/>
    </row>
    <row r="597" spans="6:6" hidden="1" x14ac:dyDescent="0.25">
      <c r="F597" s="2"/>
    </row>
    <row r="598" spans="6:6" hidden="1" x14ac:dyDescent="0.25">
      <c r="F598" s="2"/>
    </row>
    <row r="599" spans="6:6" hidden="1" x14ac:dyDescent="0.25">
      <c r="F599" s="2"/>
    </row>
    <row r="600" spans="6:6" hidden="1" x14ac:dyDescent="0.25">
      <c r="F600" s="2"/>
    </row>
    <row r="601" spans="6:6" hidden="1" x14ac:dyDescent="0.25">
      <c r="F601" s="2"/>
    </row>
    <row r="602" spans="6:6" hidden="1" x14ac:dyDescent="0.25">
      <c r="F602" s="2"/>
    </row>
    <row r="603" spans="6:6" hidden="1" x14ac:dyDescent="0.25">
      <c r="F603" s="2"/>
    </row>
    <row r="604" spans="6:6" hidden="1" x14ac:dyDescent="0.25">
      <c r="F604" s="2"/>
    </row>
    <row r="605" spans="6:6" hidden="1" x14ac:dyDescent="0.25">
      <c r="F605" s="2"/>
    </row>
    <row r="606" spans="6:6" hidden="1" x14ac:dyDescent="0.25">
      <c r="F606" s="2"/>
    </row>
    <row r="607" spans="6:6" hidden="1" x14ac:dyDescent="0.25">
      <c r="F607" s="2"/>
    </row>
    <row r="608" spans="6:6" hidden="1" x14ac:dyDescent="0.25">
      <c r="F608" s="2"/>
    </row>
    <row r="609" spans="6:6" hidden="1" x14ac:dyDescent="0.25">
      <c r="F609" s="2"/>
    </row>
    <row r="610" spans="6:6" hidden="1" x14ac:dyDescent="0.25">
      <c r="F610" s="2"/>
    </row>
    <row r="611" spans="6:6" hidden="1" x14ac:dyDescent="0.25">
      <c r="F611" s="2"/>
    </row>
    <row r="612" spans="6:6" hidden="1" x14ac:dyDescent="0.25">
      <c r="F612" s="2"/>
    </row>
    <row r="613" spans="6:6" hidden="1" x14ac:dyDescent="0.25">
      <c r="F613" s="2"/>
    </row>
    <row r="614" spans="6:6" hidden="1" x14ac:dyDescent="0.25">
      <c r="F614" s="2"/>
    </row>
    <row r="615" spans="6:6" hidden="1" x14ac:dyDescent="0.25">
      <c r="F615" s="2"/>
    </row>
    <row r="616" spans="6:6" hidden="1" x14ac:dyDescent="0.25">
      <c r="F616" s="2"/>
    </row>
    <row r="617" spans="6:6" hidden="1" x14ac:dyDescent="0.25">
      <c r="F617" s="2"/>
    </row>
    <row r="618" spans="6:6" hidden="1" x14ac:dyDescent="0.25">
      <c r="F618" s="2"/>
    </row>
    <row r="619" spans="6:6" hidden="1" x14ac:dyDescent="0.25">
      <c r="F619" s="2"/>
    </row>
    <row r="620" spans="6:6" hidden="1" x14ac:dyDescent="0.25">
      <c r="F620" s="2"/>
    </row>
    <row r="621" spans="6:6" hidden="1" x14ac:dyDescent="0.25">
      <c r="F621" s="2"/>
    </row>
    <row r="622" spans="6:6" hidden="1" x14ac:dyDescent="0.25">
      <c r="F622" s="2"/>
    </row>
    <row r="623" spans="6:6" hidden="1" x14ac:dyDescent="0.25">
      <c r="F623" s="2"/>
    </row>
    <row r="624" spans="6:6" hidden="1" x14ac:dyDescent="0.25">
      <c r="F624" s="2"/>
    </row>
    <row r="625" spans="6:6" hidden="1" x14ac:dyDescent="0.25">
      <c r="F625" s="2"/>
    </row>
    <row r="626" spans="6:6" hidden="1" x14ac:dyDescent="0.25">
      <c r="F626" s="2"/>
    </row>
    <row r="627" spans="6:6" hidden="1" x14ac:dyDescent="0.25">
      <c r="F627" s="2"/>
    </row>
    <row r="628" spans="6:6" hidden="1" x14ac:dyDescent="0.25">
      <c r="F628" s="2"/>
    </row>
    <row r="629" spans="6:6" hidden="1" x14ac:dyDescent="0.25">
      <c r="F629" s="2"/>
    </row>
    <row r="630" spans="6:6" hidden="1" x14ac:dyDescent="0.25">
      <c r="F630" s="2"/>
    </row>
    <row r="631" spans="6:6" hidden="1" x14ac:dyDescent="0.25">
      <c r="F631" s="2"/>
    </row>
    <row r="632" spans="6:6" hidden="1" x14ac:dyDescent="0.25">
      <c r="F632" s="2"/>
    </row>
    <row r="633" spans="6:6" hidden="1" x14ac:dyDescent="0.25">
      <c r="F633" s="2"/>
    </row>
    <row r="634" spans="6:6" hidden="1" x14ac:dyDescent="0.25">
      <c r="F634" s="2"/>
    </row>
    <row r="635" spans="6:6" hidden="1" x14ac:dyDescent="0.25">
      <c r="F635" s="2"/>
    </row>
    <row r="636" spans="6:6" hidden="1" x14ac:dyDescent="0.25">
      <c r="F636" s="2"/>
    </row>
    <row r="637" spans="6:6" hidden="1" x14ac:dyDescent="0.25">
      <c r="F637" s="2"/>
    </row>
    <row r="638" spans="6:6" hidden="1" x14ac:dyDescent="0.25">
      <c r="F638" s="2"/>
    </row>
    <row r="639" spans="6:6" hidden="1" x14ac:dyDescent="0.25">
      <c r="F639" s="2"/>
    </row>
    <row r="640" spans="6:6" hidden="1" x14ac:dyDescent="0.25">
      <c r="F640" s="2"/>
    </row>
    <row r="641" spans="6:6" hidden="1" x14ac:dyDescent="0.25">
      <c r="F641" s="2"/>
    </row>
    <row r="642" spans="6:6" hidden="1" x14ac:dyDescent="0.25">
      <c r="F642" s="2"/>
    </row>
    <row r="643" spans="6:6" hidden="1" x14ac:dyDescent="0.25">
      <c r="F643" s="2"/>
    </row>
    <row r="644" spans="6:6" hidden="1" x14ac:dyDescent="0.25">
      <c r="F644" s="2"/>
    </row>
    <row r="645" spans="6:6" hidden="1" x14ac:dyDescent="0.25">
      <c r="F645" s="2"/>
    </row>
    <row r="646" spans="6:6" hidden="1" x14ac:dyDescent="0.25">
      <c r="F646" s="2"/>
    </row>
    <row r="647" spans="6:6" hidden="1" x14ac:dyDescent="0.25">
      <c r="F647" s="2"/>
    </row>
    <row r="648" spans="6:6" hidden="1" x14ac:dyDescent="0.25">
      <c r="F648" s="2"/>
    </row>
    <row r="649" spans="6:6" hidden="1" x14ac:dyDescent="0.25">
      <c r="F649" s="2"/>
    </row>
    <row r="650" spans="6:6" hidden="1" x14ac:dyDescent="0.25">
      <c r="F650" s="2"/>
    </row>
    <row r="651" spans="6:6" hidden="1" x14ac:dyDescent="0.25">
      <c r="F651" s="2"/>
    </row>
    <row r="652" spans="6:6" hidden="1" x14ac:dyDescent="0.25">
      <c r="F652" s="2"/>
    </row>
    <row r="653" spans="6:6" x14ac:dyDescent="0.25"/>
    <row r="654" spans="6:6" x14ac:dyDescent="0.25"/>
    <row r="655" spans="6:6" x14ac:dyDescent="0.25"/>
    <row r="656" spans="6: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</sheetData>
  <sheetProtection algorithmName="SHA-512" hashValue="tIItRTc/16hIhBgQCDFX0bCoSPmYedcrIZVPRmaVii9qa9ckMNCuT6S/PjGRvh0lAozYG8S7anJZno7NoXagKg==" saltValue="LiKwQFi2y7lWkjCeqVNcuQ==" spinCount="100000" sheet="1" objects="1" scenarios="1"/>
  <protectedRanges>
    <protectedRange sqref="E11" name="Range1_3"/>
    <protectedRange sqref="G33:H34" name="Range1_1"/>
    <protectedRange sqref="I34 I23:I32" name="Range1_4"/>
    <protectedRange sqref="J23:J32 J34" name="Range1_6"/>
  </protectedRanges>
  <mergeCells count="2">
    <mergeCell ref="E1:F1"/>
    <mergeCell ref="B13:D13"/>
  </mergeCells>
  <phoneticPr fontId="0" type="noConversion"/>
  <conditionalFormatting sqref="J133">
    <cfRule type="cellIs" dxfId="16" priority="33" operator="greaterThan">
      <formula>$J$134</formula>
    </cfRule>
  </conditionalFormatting>
  <conditionalFormatting sqref="H171">
    <cfRule type="expression" dxfId="15" priority="26">
      <formula>$Q$171&lt;&gt;0</formula>
    </cfRule>
  </conditionalFormatting>
  <conditionalFormatting sqref="J171">
    <cfRule type="expression" dxfId="14" priority="25">
      <formula>$R$171&lt;&gt;0</formula>
    </cfRule>
  </conditionalFormatting>
  <conditionalFormatting sqref="L171">
    <cfRule type="expression" dxfId="13" priority="24">
      <formula>$S$171&lt;&gt;0</formula>
    </cfRule>
  </conditionalFormatting>
  <conditionalFormatting sqref="E11">
    <cfRule type="expression" dxfId="12" priority="21">
      <formula>IF($F$10,TRUE,FALSE)</formula>
    </cfRule>
  </conditionalFormatting>
  <conditionalFormatting sqref="D117:E117">
    <cfRule type="expression" dxfId="11" priority="6">
      <formula>$G$117+$I$117&lt;&gt;0</formula>
    </cfRule>
  </conditionalFormatting>
  <conditionalFormatting sqref="E117">
    <cfRule type="expression" dxfId="10" priority="5">
      <formula>$H$117+$J$117&lt;&gt;0</formula>
    </cfRule>
  </conditionalFormatting>
  <conditionalFormatting sqref="G117">
    <cfRule type="expression" dxfId="9" priority="4">
      <formula>$G$117+$I$117&lt;&gt;0</formula>
    </cfRule>
  </conditionalFormatting>
  <conditionalFormatting sqref="I117">
    <cfRule type="expression" dxfId="8" priority="3">
      <formula>$G$117+$I$117&lt;&gt;0</formula>
    </cfRule>
  </conditionalFormatting>
  <conditionalFormatting sqref="H117">
    <cfRule type="expression" dxfId="7" priority="2">
      <formula>$H$117+$J$117&lt;&gt;0</formula>
    </cfRule>
  </conditionalFormatting>
  <conditionalFormatting sqref="J117">
    <cfRule type="expression" dxfId="6" priority="1">
      <formula>$H$117+$J$117&lt;&gt;0</formula>
    </cfRule>
  </conditionalFormatting>
  <dataValidations disablePrompts="1" count="1">
    <dataValidation allowBlank="1" showInputMessage="1" showErrorMessage="1" errorTitle="Unchecked Box" error="Check box on Cells C8 or C9." sqref="D9:D10" xr:uid="{00000000-0002-0000-0000-000000000000}"/>
  </dataValidations>
  <printOptions horizontalCentered="1"/>
  <pageMargins left="0.1" right="0.1" top="0.5" bottom="0.1" header="0.5" footer="0.5"/>
  <pageSetup scale="56" fitToHeight="0" orientation="landscape" horizontalDpi="300" verticalDpi="300" r:id="rId1"/>
  <headerFooter scaleWithDoc="0" alignWithMargins="0"/>
  <rowBreaks count="3" manualBreakCount="3">
    <brk id="60" min="1" max="13" man="1"/>
    <brk id="112" min="1" max="13" man="1"/>
    <brk id="155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</xdr:col>
                    <xdr:colOff>790575</xdr:colOff>
                    <xdr:row>7</xdr:row>
                    <xdr:rowOff>161925</xdr:rowOff>
                  </from>
                  <to>
                    <xdr:col>3</xdr:col>
                    <xdr:colOff>1095375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790575</xdr:colOff>
                    <xdr:row>8</xdr:row>
                    <xdr:rowOff>180975</xdr:rowOff>
                  </from>
                  <to>
                    <xdr:col>3</xdr:col>
                    <xdr:colOff>1095375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1"/>
  <sheetViews>
    <sheetView view="pageBreakPreview" zoomScale="80" zoomScaleNormal="85" zoomScaleSheetLayoutView="80" workbookViewId="0">
      <selection activeCell="K17" sqref="K17"/>
    </sheetView>
  </sheetViews>
  <sheetFormatPr defaultColWidth="9.140625" defaultRowHeight="0" customHeight="1" zeroHeight="1" x14ac:dyDescent="0.25"/>
  <cols>
    <col min="1" max="1" width="0.85546875" style="1" customWidth="1"/>
    <col min="2" max="2" width="4.7109375" style="44" customWidth="1"/>
    <col min="3" max="3" width="2.5703125" style="44" customWidth="1"/>
    <col min="4" max="4" width="15.140625" style="44" customWidth="1"/>
    <col min="5" max="5" width="58.7109375" style="44" customWidth="1"/>
    <col min="6" max="6" width="17" style="44" customWidth="1"/>
    <col min="7" max="7" width="14.28515625" style="44" customWidth="1"/>
    <col min="8" max="8" width="14.140625" style="44" customWidth="1"/>
    <col min="9" max="9" width="21.140625" style="44" customWidth="1"/>
    <col min="10" max="10" width="20.140625" style="44" customWidth="1"/>
    <col min="11" max="11" width="63.5703125" style="1" customWidth="1"/>
    <col min="12" max="19" width="9.140625" style="1" customWidth="1"/>
    <col min="20" max="16383" width="9.140625" style="1"/>
    <col min="16384" max="16384" width="6" style="1" customWidth="1"/>
  </cols>
  <sheetData>
    <row r="1" spans="1:11" s="26" customFormat="1" ht="15" customHeight="1" x14ac:dyDescent="0.25">
      <c r="A1" s="178"/>
      <c r="B1" s="252" t="s">
        <v>222</v>
      </c>
      <c r="C1" s="253"/>
      <c r="D1" s="253"/>
      <c r="E1" s="253"/>
      <c r="F1" s="253"/>
      <c r="G1" s="253"/>
      <c r="H1" s="253"/>
      <c r="I1" s="253"/>
      <c r="J1" s="253"/>
      <c r="K1" s="254"/>
    </row>
    <row r="2" spans="1:11" s="26" customFormat="1" ht="15" customHeight="1" x14ac:dyDescent="0.25">
      <c r="A2" s="29"/>
      <c r="B2" s="255" t="s">
        <v>225</v>
      </c>
      <c r="C2" s="256"/>
      <c r="D2" s="256"/>
      <c r="E2" s="256"/>
      <c r="F2" s="256"/>
      <c r="G2" s="256"/>
      <c r="H2" s="256"/>
      <c r="I2" s="256"/>
      <c r="J2" s="256"/>
      <c r="K2" s="257"/>
    </row>
    <row r="3" spans="1:11" s="26" customFormat="1" ht="15" customHeight="1" x14ac:dyDescent="0.25">
      <c r="A3" s="43"/>
      <c r="B3" s="255" t="s">
        <v>233</v>
      </c>
      <c r="C3" s="256"/>
      <c r="D3" s="256"/>
      <c r="E3" s="256"/>
      <c r="F3" s="256"/>
      <c r="G3" s="256"/>
      <c r="H3" s="256"/>
      <c r="I3" s="256"/>
      <c r="J3" s="256"/>
      <c r="K3" s="257"/>
    </row>
    <row r="4" spans="1:11" s="26" customFormat="1" ht="15" customHeight="1" x14ac:dyDescent="0.25">
      <c r="A4" s="29"/>
      <c r="B4" s="220"/>
      <c r="C4" s="69"/>
      <c r="D4" s="69"/>
      <c r="E4" s="69"/>
      <c r="F4" s="69"/>
      <c r="G4" s="69"/>
      <c r="H4" s="69"/>
      <c r="I4" s="69"/>
      <c r="J4" s="219" t="s">
        <v>216</v>
      </c>
      <c r="K4" s="142"/>
    </row>
    <row r="5" spans="1:11" ht="14.45" customHeight="1" x14ac:dyDescent="0.25">
      <c r="A5" s="29"/>
      <c r="B5" s="221"/>
      <c r="C5" s="34"/>
      <c r="E5" s="34"/>
      <c r="F5" s="34"/>
      <c r="G5" s="34"/>
      <c r="I5" s="129"/>
      <c r="J5" s="130" t="s">
        <v>234</v>
      </c>
      <c r="K5" s="46"/>
    </row>
    <row r="6" spans="1:11" ht="14.45" customHeight="1" x14ac:dyDescent="0.25">
      <c r="A6" s="29"/>
      <c r="B6" s="221"/>
      <c r="C6" s="34"/>
      <c r="D6" s="35" t="s">
        <v>153</v>
      </c>
      <c r="E6" s="141" t="str">
        <f>'Interim Input'!E2:F2</f>
        <v>America's Finest Charter School</v>
      </c>
      <c r="F6" s="128"/>
      <c r="G6" s="34"/>
      <c r="H6" s="34"/>
      <c r="I6" s="130"/>
      <c r="J6" s="130" t="s">
        <v>219</v>
      </c>
      <c r="K6" s="222"/>
    </row>
    <row r="7" spans="1:11" ht="14.45" customHeight="1" x14ac:dyDescent="0.25">
      <c r="A7" s="29"/>
      <c r="B7" s="221"/>
      <c r="C7" s="34"/>
      <c r="D7" s="35" t="s">
        <v>211</v>
      </c>
      <c r="E7" s="141" t="str">
        <f>'Interim Input'!E3:F3</f>
        <v>37-68338-0136663</v>
      </c>
      <c r="F7" s="128"/>
      <c r="G7" s="34"/>
      <c r="H7" s="34"/>
      <c r="I7" s="130"/>
      <c r="J7" s="130" t="s">
        <v>220</v>
      </c>
      <c r="K7" s="46"/>
    </row>
    <row r="8" spans="1:11" ht="14.45" customHeight="1" x14ac:dyDescent="0.25">
      <c r="A8" s="29"/>
      <c r="B8" s="221"/>
      <c r="C8" s="34"/>
      <c r="D8" s="35" t="s">
        <v>212</v>
      </c>
      <c r="E8" s="141" t="str">
        <f>'Interim Input'!E4:F4</f>
        <v>San Diego Unified School District</v>
      </c>
      <c r="F8" s="128"/>
      <c r="G8" s="34"/>
      <c r="H8" s="34"/>
      <c r="I8" s="130"/>
      <c r="J8" s="130" t="s">
        <v>217</v>
      </c>
      <c r="K8" s="222"/>
    </row>
    <row r="9" spans="1:11" ht="14.45" customHeight="1" x14ac:dyDescent="0.25">
      <c r="A9" s="29"/>
      <c r="B9" s="221"/>
      <c r="C9" s="34"/>
      <c r="D9" s="35" t="s">
        <v>213</v>
      </c>
      <c r="E9" s="141" t="str">
        <f>'Interim Input'!E5:F5</f>
        <v>San Diego</v>
      </c>
      <c r="F9" s="128"/>
      <c r="G9" s="34"/>
      <c r="H9" s="34"/>
      <c r="I9" s="130"/>
      <c r="J9" s="129" t="s">
        <v>218</v>
      </c>
      <c r="K9" s="222"/>
    </row>
    <row r="10" spans="1:11" ht="14.45" customHeight="1" x14ac:dyDescent="0.25">
      <c r="A10" s="29"/>
      <c r="B10" s="221"/>
      <c r="C10" s="34"/>
      <c r="D10" s="35" t="s">
        <v>214</v>
      </c>
      <c r="E10" s="141">
        <f>'Interim Input'!E6</f>
        <v>1301</v>
      </c>
      <c r="F10" s="128"/>
      <c r="G10" s="129"/>
      <c r="H10" s="129"/>
      <c r="I10" s="37"/>
      <c r="J10" s="1"/>
      <c r="K10" s="142"/>
    </row>
    <row r="11" spans="1:11" ht="15" x14ac:dyDescent="0.25">
      <c r="A11" s="29"/>
      <c r="B11" s="221"/>
      <c r="C11" s="34"/>
      <c r="D11" s="35"/>
      <c r="E11" s="148"/>
      <c r="F11" s="148"/>
      <c r="G11" s="34"/>
      <c r="H11" s="36"/>
      <c r="I11" s="248" t="s">
        <v>225</v>
      </c>
      <c r="J11" s="249"/>
      <c r="K11" s="142"/>
    </row>
    <row r="12" spans="1:11" s="25" customFormat="1" ht="13.5" customHeight="1" x14ac:dyDescent="0.25">
      <c r="A12" s="31"/>
      <c r="B12" s="223"/>
      <c r="C12" s="149"/>
      <c r="D12" s="149"/>
      <c r="E12" s="149"/>
      <c r="F12" s="133"/>
      <c r="G12" s="40"/>
      <c r="H12" s="41"/>
      <c r="I12" s="250" t="s">
        <v>186</v>
      </c>
      <c r="J12" s="251"/>
      <c r="K12" s="224"/>
    </row>
    <row r="13" spans="1:11" s="2" customFormat="1" ht="57" x14ac:dyDescent="0.25">
      <c r="A13" s="131"/>
      <c r="B13" s="246" t="s">
        <v>107</v>
      </c>
      <c r="C13" s="247"/>
      <c r="D13" s="247"/>
      <c r="E13" s="39"/>
      <c r="F13" s="132" t="s">
        <v>0</v>
      </c>
      <c r="G13" s="42" t="s">
        <v>224</v>
      </c>
      <c r="H13" s="42" t="s">
        <v>185</v>
      </c>
      <c r="I13" s="145" t="s">
        <v>209</v>
      </c>
      <c r="J13" s="145" t="s">
        <v>210</v>
      </c>
      <c r="K13" s="225" t="s">
        <v>221</v>
      </c>
    </row>
    <row r="14" spans="1:11" ht="15" x14ac:dyDescent="0.25">
      <c r="A14" s="29"/>
      <c r="B14" s="221" t="s">
        <v>78</v>
      </c>
      <c r="C14" s="34"/>
      <c r="D14" s="34"/>
      <c r="E14" s="46"/>
      <c r="F14" s="47"/>
      <c r="G14" s="48"/>
      <c r="H14" s="49"/>
      <c r="I14" s="50"/>
      <c r="J14" s="50"/>
      <c r="K14" s="226"/>
    </row>
    <row r="15" spans="1:11" ht="15" x14ac:dyDescent="0.25">
      <c r="A15" s="29"/>
      <c r="B15" s="221"/>
      <c r="C15" s="34" t="s">
        <v>112</v>
      </c>
      <c r="D15" s="34"/>
      <c r="E15" s="46"/>
      <c r="F15" s="46"/>
      <c r="G15" s="51"/>
      <c r="H15" s="51"/>
      <c r="I15" s="52"/>
      <c r="J15" s="52"/>
      <c r="K15" s="227"/>
    </row>
    <row r="16" spans="1:11" ht="15" x14ac:dyDescent="0.25">
      <c r="A16" s="29"/>
      <c r="B16" s="221"/>
      <c r="C16" s="34"/>
      <c r="D16" s="34" t="s">
        <v>192</v>
      </c>
      <c r="E16" s="46"/>
      <c r="F16" s="53">
        <v>8011</v>
      </c>
      <c r="G16" s="188">
        <v>1843384</v>
      </c>
      <c r="H16" s="54">
        <f>VLOOKUP($D$16:$D$119,'Interim Input'!$D$16:$K$172,8,FALSE)</f>
        <v>1921699</v>
      </c>
      <c r="I16" s="55">
        <f>+H16-G16</f>
        <v>78315</v>
      </c>
      <c r="J16" s="134">
        <f>IFERROR(+I16/G16,0)</f>
        <v>4.2484365710020268E-2</v>
      </c>
      <c r="K16" s="227"/>
    </row>
    <row r="17" spans="1:11" ht="15" x14ac:dyDescent="0.25">
      <c r="A17" s="29"/>
      <c r="B17" s="221"/>
      <c r="C17" s="34"/>
      <c r="D17" s="34" t="s">
        <v>193</v>
      </c>
      <c r="E17" s="46"/>
      <c r="F17" s="53">
        <v>8012</v>
      </c>
      <c r="G17" s="211">
        <v>96000</v>
      </c>
      <c r="H17" s="54">
        <f>VLOOKUP($D$16:$D$119,'Interim Input'!$D$16:$K$172,8,FALSE)</f>
        <v>80600</v>
      </c>
      <c r="I17" s="55">
        <f>+H17-G17</f>
        <v>-15400</v>
      </c>
      <c r="J17" s="134">
        <f>IFERROR(+I17/G17,0)</f>
        <v>-0.16041666666666668</v>
      </c>
      <c r="K17" s="227" t="s">
        <v>239</v>
      </c>
    </row>
    <row r="18" spans="1:11" ht="15" x14ac:dyDescent="0.25">
      <c r="A18" s="29"/>
      <c r="B18" s="221"/>
      <c r="C18" s="34"/>
      <c r="D18" s="34" t="s">
        <v>194</v>
      </c>
      <c r="E18" s="46"/>
      <c r="F18" s="53">
        <v>8019</v>
      </c>
      <c r="G18" s="211">
        <v>0</v>
      </c>
      <c r="H18" s="54">
        <f>VLOOKUP($D$16:$D$119,'Interim Input'!$D$16:$K$172,8,FALSE)</f>
        <v>0</v>
      </c>
      <c r="I18" s="55">
        <f>+H18-G18</f>
        <v>0</v>
      </c>
      <c r="J18" s="134">
        <f t="shared" ref="J18:J20" si="0">IFERROR(+I18/G18,0)</f>
        <v>0</v>
      </c>
      <c r="K18" s="227"/>
    </row>
    <row r="19" spans="1:11" ht="15" x14ac:dyDescent="0.25">
      <c r="A19" s="29"/>
      <c r="B19" s="221"/>
      <c r="C19" s="34"/>
      <c r="D19" s="34" t="s">
        <v>141</v>
      </c>
      <c r="E19" s="46"/>
      <c r="F19" s="53">
        <v>8096</v>
      </c>
      <c r="G19" s="211">
        <v>3495614.4</v>
      </c>
      <c r="H19" s="54">
        <f>VLOOKUP($D$16:$D$119,'Interim Input'!$D$16:$K$172,8,FALSE)</f>
        <v>2934859.59</v>
      </c>
      <c r="I19" s="55">
        <f>+H19-G19</f>
        <v>-560754.81000000006</v>
      </c>
      <c r="J19" s="134">
        <f t="shared" si="0"/>
        <v>-0.16041666666666668</v>
      </c>
      <c r="K19" s="227" t="s">
        <v>239</v>
      </c>
    </row>
    <row r="20" spans="1:11" ht="15" x14ac:dyDescent="0.25">
      <c r="A20" s="29"/>
      <c r="B20" s="221"/>
      <c r="C20" s="34"/>
      <c r="D20" s="34" t="s">
        <v>110</v>
      </c>
      <c r="E20" s="46"/>
      <c r="F20" s="53" t="s">
        <v>111</v>
      </c>
      <c r="G20" s="211">
        <v>0</v>
      </c>
      <c r="H20" s="54">
        <f>VLOOKUP($D$16:$D$119,'Interim Input'!$D$16:$K$172,8,FALSE)</f>
        <v>0</v>
      </c>
      <c r="I20" s="55">
        <f>+H20-G20</f>
        <v>0</v>
      </c>
      <c r="J20" s="134">
        <f t="shared" si="0"/>
        <v>0</v>
      </c>
      <c r="K20" s="227"/>
    </row>
    <row r="21" spans="1:11" s="122" customFormat="1" ht="15" x14ac:dyDescent="0.25">
      <c r="A21" s="120"/>
      <c r="B21" s="228"/>
      <c r="C21" s="123" t="s">
        <v>142</v>
      </c>
      <c r="D21" s="123"/>
      <c r="E21" s="71"/>
      <c r="F21" s="77"/>
      <c r="G21" s="124">
        <f t="shared" ref="G21:H21" si="1">SUM(G16:G20)</f>
        <v>5434998.4000000004</v>
      </c>
      <c r="H21" s="124">
        <f t="shared" si="1"/>
        <v>4937158.59</v>
      </c>
      <c r="I21" s="72">
        <f>SUM(I16:I20)</f>
        <v>-497839.81000000006</v>
      </c>
      <c r="J21" s="135">
        <f>IFERROR(+I21/G21,0)</f>
        <v>-9.1598888051190597E-2</v>
      </c>
      <c r="K21" s="229"/>
    </row>
    <row r="22" spans="1:11" ht="15" x14ac:dyDescent="0.25">
      <c r="A22" s="29"/>
      <c r="B22" s="230"/>
      <c r="C22" s="62" t="s">
        <v>188</v>
      </c>
      <c r="D22" s="62"/>
      <c r="E22" s="47"/>
      <c r="F22" s="63"/>
      <c r="G22" s="67"/>
      <c r="H22" s="64"/>
      <c r="I22" s="65"/>
      <c r="J22" s="65"/>
      <c r="K22" s="226"/>
    </row>
    <row r="23" spans="1:11" ht="15" x14ac:dyDescent="0.25">
      <c r="A23" s="29"/>
      <c r="B23" s="221"/>
      <c r="C23" s="34"/>
      <c r="D23" s="34" t="s">
        <v>143</v>
      </c>
      <c r="E23" s="34"/>
      <c r="F23" s="63">
        <v>8290</v>
      </c>
      <c r="G23" s="211">
        <v>206264</v>
      </c>
      <c r="H23" s="54">
        <f>VLOOKUP($D$16:$D$119,'Interim Input'!$D$16:$K$172,8,FALSE)</f>
        <v>199257</v>
      </c>
      <c r="I23" s="55">
        <f t="shared" ref="I23:I34" si="2">+H23-G23</f>
        <v>-7007</v>
      </c>
      <c r="J23" s="134">
        <f t="shared" ref="J23:J34" si="3">IFERROR(+I23/G23,0)</f>
        <v>-3.3971027421168989E-2</v>
      </c>
      <c r="K23" s="227"/>
    </row>
    <row r="24" spans="1:11" ht="15" x14ac:dyDescent="0.25">
      <c r="A24" s="29"/>
      <c r="B24" s="221"/>
      <c r="C24" s="34"/>
      <c r="D24" s="34" t="s">
        <v>144</v>
      </c>
      <c r="E24" s="34"/>
      <c r="F24" s="63">
        <v>8290</v>
      </c>
      <c r="G24" s="211">
        <v>22775</v>
      </c>
      <c r="H24" s="54">
        <f>VLOOKUP($D$16:$D$119,'Interim Input'!$D$16:$K$172,8,FALSE)</f>
        <v>22775</v>
      </c>
      <c r="I24" s="55">
        <f t="shared" si="2"/>
        <v>0</v>
      </c>
      <c r="J24" s="134">
        <f t="shared" si="3"/>
        <v>0</v>
      </c>
      <c r="K24" s="227"/>
    </row>
    <row r="25" spans="1:11" ht="15" x14ac:dyDescent="0.25">
      <c r="A25" s="29"/>
      <c r="B25" s="221"/>
      <c r="C25" s="34"/>
      <c r="D25" s="34" t="s">
        <v>145</v>
      </c>
      <c r="E25" s="34"/>
      <c r="F25" s="63">
        <v>8290</v>
      </c>
      <c r="G25" s="211">
        <v>25506</v>
      </c>
      <c r="H25" s="54">
        <f>VLOOKUP($D$16:$D$119,'Interim Input'!$D$16:$K$172,8,FALSE)</f>
        <v>25506</v>
      </c>
      <c r="I25" s="55">
        <f t="shared" si="2"/>
        <v>0</v>
      </c>
      <c r="J25" s="134">
        <f t="shared" si="3"/>
        <v>0</v>
      </c>
      <c r="K25" s="227"/>
    </row>
    <row r="26" spans="1:11" ht="15" x14ac:dyDescent="0.25">
      <c r="A26" s="29"/>
      <c r="B26" s="221"/>
      <c r="C26" s="34"/>
      <c r="D26" s="34" t="s">
        <v>146</v>
      </c>
      <c r="E26" s="34"/>
      <c r="F26" s="63">
        <v>8290</v>
      </c>
      <c r="G26" s="211">
        <v>0</v>
      </c>
      <c r="H26" s="54">
        <f>VLOOKUP($D$16:$D$119,'Interim Input'!$D$16:$K$172,8,FALSE)</f>
        <v>0</v>
      </c>
      <c r="I26" s="55">
        <f t="shared" si="2"/>
        <v>0</v>
      </c>
      <c r="J26" s="134">
        <f t="shared" si="3"/>
        <v>0</v>
      </c>
      <c r="K26" s="227"/>
    </row>
    <row r="27" spans="1:11" ht="15" x14ac:dyDescent="0.25">
      <c r="A27" s="29"/>
      <c r="B27" s="221"/>
      <c r="C27" s="34"/>
      <c r="D27" s="34" t="s">
        <v>189</v>
      </c>
      <c r="E27" s="34"/>
      <c r="F27" s="63">
        <v>8290</v>
      </c>
      <c r="G27" s="211">
        <v>0</v>
      </c>
      <c r="H27" s="54">
        <f>VLOOKUP($D$16:$D$119,'Interim Input'!$D$16:$K$172,8,FALSE)</f>
        <v>0</v>
      </c>
      <c r="I27" s="55">
        <f t="shared" si="2"/>
        <v>0</v>
      </c>
      <c r="J27" s="134">
        <f t="shared" si="3"/>
        <v>0</v>
      </c>
      <c r="K27" s="227"/>
    </row>
    <row r="28" spans="1:11" ht="15" x14ac:dyDescent="0.25">
      <c r="A28" s="29"/>
      <c r="B28" s="221"/>
      <c r="C28" s="34"/>
      <c r="D28" s="34" t="s">
        <v>190</v>
      </c>
      <c r="E28" s="34"/>
      <c r="F28" s="63">
        <v>8290</v>
      </c>
      <c r="G28" s="211">
        <v>12709</v>
      </c>
      <c r="H28" s="54">
        <f>VLOOKUP($D$16:$D$119,'Interim Input'!$D$16:$K$172,8,FALSE)</f>
        <v>6979</v>
      </c>
      <c r="I28" s="55">
        <f t="shared" si="2"/>
        <v>-5730</v>
      </c>
      <c r="J28" s="134">
        <f t="shared" si="3"/>
        <v>-0.4508615941458809</v>
      </c>
      <c r="K28" s="227" t="s">
        <v>237</v>
      </c>
    </row>
    <row r="29" spans="1:11" ht="15" x14ac:dyDescent="0.25">
      <c r="A29" s="29"/>
      <c r="B29" s="221"/>
      <c r="C29" s="34"/>
      <c r="D29" s="34" t="s">
        <v>166</v>
      </c>
      <c r="E29" s="34"/>
      <c r="F29" s="63">
        <v>8290</v>
      </c>
      <c r="G29" s="211">
        <v>0</v>
      </c>
      <c r="H29" s="54">
        <f>VLOOKUP($D$16:$D$119,'Interim Input'!$D$16:$K$172,8,FALSE)</f>
        <v>0</v>
      </c>
      <c r="I29" s="55">
        <f t="shared" si="2"/>
        <v>0</v>
      </c>
      <c r="J29" s="134">
        <f t="shared" si="3"/>
        <v>0</v>
      </c>
      <c r="K29" s="227"/>
    </row>
    <row r="30" spans="1:11" ht="15" x14ac:dyDescent="0.25">
      <c r="A30" s="29"/>
      <c r="B30" s="221"/>
      <c r="C30" s="34"/>
      <c r="D30" s="34" t="s">
        <v>180</v>
      </c>
      <c r="E30" s="34"/>
      <c r="F30" s="63">
        <v>8181</v>
      </c>
      <c r="G30" s="211">
        <v>60000</v>
      </c>
      <c r="H30" s="54">
        <f>VLOOKUP($D$16:$D$119,'Interim Input'!$D$16:$K$172,8,FALSE)</f>
        <v>60000</v>
      </c>
      <c r="I30" s="55">
        <f t="shared" si="2"/>
        <v>0</v>
      </c>
      <c r="J30" s="134">
        <f t="shared" si="3"/>
        <v>0</v>
      </c>
      <c r="K30" s="227"/>
    </row>
    <row r="31" spans="1:11" ht="15" x14ac:dyDescent="0.25">
      <c r="A31" s="29"/>
      <c r="B31" s="221"/>
      <c r="C31" s="34"/>
      <c r="D31" s="34" t="s">
        <v>135</v>
      </c>
      <c r="E31" s="34"/>
      <c r="F31" s="63">
        <v>8182</v>
      </c>
      <c r="G31" s="211">
        <v>0</v>
      </c>
      <c r="H31" s="54">
        <f>VLOOKUP($D$16:$D$119,'Interim Input'!$D$16:$K$172,8,FALSE)</f>
        <v>0</v>
      </c>
      <c r="I31" s="55">
        <f t="shared" si="2"/>
        <v>0</v>
      </c>
      <c r="J31" s="134">
        <f t="shared" si="3"/>
        <v>0</v>
      </c>
      <c r="K31" s="227"/>
    </row>
    <row r="32" spans="1:11" ht="15" x14ac:dyDescent="0.25">
      <c r="A32" s="29"/>
      <c r="B32" s="221"/>
      <c r="C32" s="34"/>
      <c r="D32" s="34" t="s">
        <v>131</v>
      </c>
      <c r="E32" s="34"/>
      <c r="F32" s="63">
        <v>8220</v>
      </c>
      <c r="G32" s="211">
        <v>0</v>
      </c>
      <c r="H32" s="54">
        <f>VLOOKUP($D$16:$D$119,'Interim Input'!$D$16:$K$172,8,FALSE)</f>
        <v>0</v>
      </c>
      <c r="I32" s="55">
        <f t="shared" si="2"/>
        <v>0</v>
      </c>
      <c r="J32" s="134">
        <f t="shared" si="3"/>
        <v>0</v>
      </c>
      <c r="K32" s="227"/>
    </row>
    <row r="33" spans="1:11" ht="15" x14ac:dyDescent="0.25">
      <c r="A33" s="29"/>
      <c r="B33" s="221"/>
      <c r="C33" s="34"/>
      <c r="D33" s="34" t="s">
        <v>182</v>
      </c>
      <c r="E33" s="34"/>
      <c r="F33" s="63">
        <v>8110</v>
      </c>
      <c r="G33" s="211">
        <v>0</v>
      </c>
      <c r="H33" s="54">
        <f>VLOOKUP($D$16:$D$119,'Interim Input'!$D$16:$K$172,8,FALSE)</f>
        <v>0</v>
      </c>
      <c r="I33" s="55">
        <f t="shared" si="2"/>
        <v>0</v>
      </c>
      <c r="J33" s="134">
        <f t="shared" si="3"/>
        <v>0</v>
      </c>
      <c r="K33" s="227"/>
    </row>
    <row r="34" spans="1:11" ht="15" x14ac:dyDescent="0.25">
      <c r="A34" s="29"/>
      <c r="B34" s="221"/>
      <c r="C34" s="34"/>
      <c r="D34" s="34" t="s">
        <v>195</v>
      </c>
      <c r="E34" s="34"/>
      <c r="F34" s="63" t="s">
        <v>80</v>
      </c>
      <c r="G34" s="211">
        <v>800000</v>
      </c>
      <c r="H34" s="54">
        <f>VLOOKUP($D$16:$D$119,'Interim Input'!$D$16:$K$172,8,FALSE)</f>
        <v>860074</v>
      </c>
      <c r="I34" s="55">
        <f t="shared" si="2"/>
        <v>60074</v>
      </c>
      <c r="J34" s="134">
        <f t="shared" si="3"/>
        <v>7.5092500000000006E-2</v>
      </c>
      <c r="K34" s="227"/>
    </row>
    <row r="35" spans="1:11" s="122" customFormat="1" ht="15" x14ac:dyDescent="0.25">
      <c r="A35" s="120"/>
      <c r="B35" s="220"/>
      <c r="C35" s="69" t="s">
        <v>81</v>
      </c>
      <c r="D35" s="69"/>
      <c r="E35" s="69"/>
      <c r="F35" s="121"/>
      <c r="G35" s="124">
        <f>SUM(G23:G34)</f>
        <v>1127254</v>
      </c>
      <c r="H35" s="72">
        <f t="shared" ref="H35" si="4">SUM(H23:H34)</f>
        <v>1174591</v>
      </c>
      <c r="I35" s="72">
        <f>SUM(I23:I34)</f>
        <v>47337</v>
      </c>
      <c r="J35" s="135">
        <f>IFERROR(+I35/G35,0)</f>
        <v>4.199319762892835E-2</v>
      </c>
      <c r="K35" s="229"/>
    </row>
    <row r="36" spans="1:11" ht="15" x14ac:dyDescent="0.25">
      <c r="A36" s="29"/>
      <c r="B36" s="230"/>
      <c r="C36" s="62" t="s">
        <v>187</v>
      </c>
      <c r="D36" s="62"/>
      <c r="E36" s="47"/>
      <c r="F36" s="46"/>
      <c r="G36" s="67"/>
      <c r="H36" s="64"/>
      <c r="I36" s="65"/>
      <c r="J36" s="65"/>
      <c r="K36" s="226"/>
    </row>
    <row r="37" spans="1:11" ht="15" x14ac:dyDescent="0.25">
      <c r="A37" s="29"/>
      <c r="B37" s="221"/>
      <c r="C37" s="34"/>
      <c r="D37" s="34" t="s">
        <v>130</v>
      </c>
      <c r="E37" s="46"/>
      <c r="F37" s="53">
        <v>8792</v>
      </c>
      <c r="G37" s="211">
        <v>331104</v>
      </c>
      <c r="H37" s="54">
        <f>VLOOKUP($D$16:$D$119,'Interim Input'!$D$16:$K$172,8,FALSE)</f>
        <v>331160.2</v>
      </c>
      <c r="I37" s="55">
        <f t="shared" ref="I37:I47" si="5">+H37-G37</f>
        <v>56.200000000011642</v>
      </c>
      <c r="J37" s="134">
        <f t="shared" ref="J37:J47" si="6">IFERROR(+I37/G37,0)</f>
        <v>1.6973518894369032E-4</v>
      </c>
      <c r="K37" s="227"/>
    </row>
    <row r="38" spans="1:11" ht="15" x14ac:dyDescent="0.25">
      <c r="A38" s="29"/>
      <c r="B38" s="221"/>
      <c r="C38" s="34"/>
      <c r="D38" s="34" t="s">
        <v>139</v>
      </c>
      <c r="E38" s="46"/>
      <c r="F38" s="53">
        <v>8590</v>
      </c>
      <c r="G38" s="211">
        <v>112800</v>
      </c>
      <c r="H38" s="54">
        <f>VLOOKUP($D$16:$D$119,'Interim Input'!$D$16:$K$172,8,FALSE)</f>
        <v>112800</v>
      </c>
      <c r="I38" s="55">
        <f t="shared" si="5"/>
        <v>0</v>
      </c>
      <c r="J38" s="134">
        <f t="shared" si="6"/>
        <v>0</v>
      </c>
      <c r="K38" s="227"/>
    </row>
    <row r="39" spans="1:11" ht="15" x14ac:dyDescent="0.25">
      <c r="A39" s="29"/>
      <c r="B39" s="221"/>
      <c r="C39" s="34"/>
      <c r="D39" s="34" t="s">
        <v>122</v>
      </c>
      <c r="E39" s="46"/>
      <c r="F39" s="53">
        <v>8550</v>
      </c>
      <c r="G39" s="211">
        <v>12864</v>
      </c>
      <c r="H39" s="54">
        <f>VLOOKUP($D$16:$D$119,'Interim Input'!$D$16:$K$172,8,FALSE)</f>
        <v>11238.77</v>
      </c>
      <c r="I39" s="55">
        <f t="shared" si="5"/>
        <v>-1625.2299999999996</v>
      </c>
      <c r="J39" s="134">
        <f t="shared" si="6"/>
        <v>-0.12633939676616912</v>
      </c>
      <c r="K39" s="227" t="s">
        <v>239</v>
      </c>
    </row>
    <row r="40" spans="1:11" ht="15" x14ac:dyDescent="0.25">
      <c r="A40" s="29"/>
      <c r="B40" s="221"/>
      <c r="C40" s="34"/>
      <c r="D40" s="34" t="s">
        <v>121</v>
      </c>
      <c r="E40" s="46"/>
      <c r="F40" s="53" t="s">
        <v>113</v>
      </c>
      <c r="G40" s="211">
        <v>150000</v>
      </c>
      <c r="H40" s="54">
        <f>VLOOKUP($D$16:$D$119,'Interim Input'!$D$16:$K$172,8,FALSE)</f>
        <v>199500</v>
      </c>
      <c r="I40" s="55">
        <f t="shared" si="5"/>
        <v>49500</v>
      </c>
      <c r="J40" s="134">
        <f t="shared" si="6"/>
        <v>0.33</v>
      </c>
      <c r="K40" s="227" t="s">
        <v>238</v>
      </c>
    </row>
    <row r="41" spans="1:11" ht="15" x14ac:dyDescent="0.25">
      <c r="A41" s="29"/>
      <c r="B41" s="221"/>
      <c r="C41" s="34"/>
      <c r="D41" s="34" t="s">
        <v>123</v>
      </c>
      <c r="E41" s="46"/>
      <c r="F41" s="53">
        <v>8590</v>
      </c>
      <c r="G41" s="211">
        <v>0</v>
      </c>
      <c r="H41" s="54">
        <f>VLOOKUP($D$16:$D$119,'Interim Input'!$D$16:$K$172,8,FALSE)</f>
        <v>0</v>
      </c>
      <c r="I41" s="55">
        <f t="shared" si="5"/>
        <v>0</v>
      </c>
      <c r="J41" s="134">
        <f t="shared" si="6"/>
        <v>0</v>
      </c>
      <c r="K41" s="227"/>
    </row>
    <row r="42" spans="1:11" ht="15" x14ac:dyDescent="0.25">
      <c r="A42" s="29"/>
      <c r="B42" s="221"/>
      <c r="C42" s="34"/>
      <c r="D42" s="34" t="s">
        <v>120</v>
      </c>
      <c r="E42" s="46"/>
      <c r="F42" s="53">
        <v>8590</v>
      </c>
      <c r="G42" s="211">
        <v>125600</v>
      </c>
      <c r="H42" s="54">
        <f>VLOOKUP($D$16:$D$119,'Interim Input'!$D$16:$K$172,8,FALSE)</f>
        <v>94200</v>
      </c>
      <c r="I42" s="55">
        <f t="shared" si="5"/>
        <v>-31400</v>
      </c>
      <c r="J42" s="134">
        <f t="shared" si="6"/>
        <v>-0.25</v>
      </c>
      <c r="K42" s="227" t="s">
        <v>239</v>
      </c>
    </row>
    <row r="43" spans="1:11" ht="15" x14ac:dyDescent="0.25">
      <c r="A43" s="29"/>
      <c r="B43" s="221"/>
      <c r="C43" s="34"/>
      <c r="D43" s="34" t="s">
        <v>191</v>
      </c>
      <c r="E43" s="46"/>
      <c r="F43" s="53">
        <v>8590</v>
      </c>
      <c r="G43" s="211">
        <v>0</v>
      </c>
      <c r="H43" s="54">
        <f>VLOOKUP($D$16:$D$119,'Interim Input'!$D$16:$K$172,8,FALSE)</f>
        <v>0</v>
      </c>
      <c r="I43" s="55">
        <f t="shared" si="5"/>
        <v>0</v>
      </c>
      <c r="J43" s="134">
        <f t="shared" si="6"/>
        <v>0</v>
      </c>
      <c r="K43" s="227"/>
    </row>
    <row r="44" spans="1:11" ht="15" x14ac:dyDescent="0.25">
      <c r="A44" s="29"/>
      <c r="B44" s="221"/>
      <c r="C44" s="34"/>
      <c r="D44" s="34" t="s">
        <v>124</v>
      </c>
      <c r="E44" s="46"/>
      <c r="F44" s="53">
        <v>8560</v>
      </c>
      <c r="G44" s="211">
        <v>78240</v>
      </c>
      <c r="H44" s="54">
        <f>VLOOKUP($D$16:$D$119,'Interim Input'!$D$16:$K$172,8,FALSE)</f>
        <v>68510</v>
      </c>
      <c r="I44" s="55">
        <f t="shared" si="5"/>
        <v>-9730</v>
      </c>
      <c r="J44" s="134">
        <f t="shared" si="6"/>
        <v>-0.12436094069529652</v>
      </c>
      <c r="K44" s="227" t="s">
        <v>239</v>
      </c>
    </row>
    <row r="45" spans="1:11" ht="15" x14ac:dyDescent="0.25">
      <c r="A45" s="29"/>
      <c r="B45" s="221"/>
      <c r="C45" s="34"/>
      <c r="D45" s="34" t="s">
        <v>165</v>
      </c>
      <c r="E45" s="46"/>
      <c r="F45" s="53">
        <v>8560</v>
      </c>
      <c r="G45" s="211">
        <v>31200</v>
      </c>
      <c r="H45" s="54">
        <f>VLOOKUP($D$16:$D$119,'Interim Input'!$D$16:$K$172,8,FALSE)</f>
        <v>27001</v>
      </c>
      <c r="I45" s="55">
        <f t="shared" si="5"/>
        <v>-4199</v>
      </c>
      <c r="J45" s="134">
        <f t="shared" si="6"/>
        <v>-0.13458333333333333</v>
      </c>
      <c r="K45" s="227" t="s">
        <v>239</v>
      </c>
    </row>
    <row r="46" spans="1:11" ht="15" x14ac:dyDescent="0.25">
      <c r="A46" s="29"/>
      <c r="B46" s="221"/>
      <c r="C46" s="34"/>
      <c r="D46" s="34" t="s">
        <v>119</v>
      </c>
      <c r="E46" s="46"/>
      <c r="F46" s="53">
        <v>8590</v>
      </c>
      <c r="G46" s="211">
        <v>0</v>
      </c>
      <c r="H46" s="54">
        <f>VLOOKUP($D$16:$D$119,'Interim Input'!$D$16:$K$172,8,FALSE)</f>
        <v>0</v>
      </c>
      <c r="I46" s="55">
        <f t="shared" si="5"/>
        <v>0</v>
      </c>
      <c r="J46" s="134">
        <f t="shared" si="6"/>
        <v>0</v>
      </c>
      <c r="K46" s="227"/>
    </row>
    <row r="47" spans="1:11" ht="15" x14ac:dyDescent="0.25">
      <c r="A47" s="29"/>
      <c r="B47" s="221"/>
      <c r="C47" s="34"/>
      <c r="D47" s="34" t="s">
        <v>196</v>
      </c>
      <c r="E47" s="46"/>
      <c r="F47" s="53" t="s">
        <v>79</v>
      </c>
      <c r="G47" s="211">
        <v>518508</v>
      </c>
      <c r="H47" s="54">
        <f>VLOOKUP($D$16:$D$119,'Interim Input'!$D$16:$K$172,8,FALSE)</f>
        <v>1080122</v>
      </c>
      <c r="I47" s="55">
        <f t="shared" si="5"/>
        <v>561614</v>
      </c>
      <c r="J47" s="134">
        <f t="shared" si="6"/>
        <v>1.0831346864464966</v>
      </c>
      <c r="K47" s="227" t="s">
        <v>238</v>
      </c>
    </row>
    <row r="48" spans="1:11" s="122" customFormat="1" ht="15" x14ac:dyDescent="0.25">
      <c r="A48" s="120"/>
      <c r="B48" s="228"/>
      <c r="C48" s="123" t="s">
        <v>82</v>
      </c>
      <c r="D48" s="123"/>
      <c r="E48" s="71"/>
      <c r="F48" s="71"/>
      <c r="G48" s="124">
        <f t="shared" ref="G48:I48" si="7">SUM(G37:G47)</f>
        <v>1360316</v>
      </c>
      <c r="H48" s="125">
        <f t="shared" si="7"/>
        <v>1924531.97</v>
      </c>
      <c r="I48" s="72">
        <f t="shared" si="7"/>
        <v>564215.97</v>
      </c>
      <c r="J48" s="135">
        <f>IFERROR(+I48/G48,0)</f>
        <v>0.41476831118651841</v>
      </c>
      <c r="K48" s="229"/>
    </row>
    <row r="49" spans="1:11" ht="15" x14ac:dyDescent="0.25">
      <c r="A49" s="29"/>
      <c r="B49" s="230"/>
      <c r="C49" s="62" t="s">
        <v>133</v>
      </c>
      <c r="D49" s="62"/>
      <c r="E49" s="47"/>
      <c r="F49" s="46"/>
      <c r="G49" s="139"/>
      <c r="H49" s="64"/>
      <c r="I49" s="65"/>
      <c r="J49" s="65"/>
      <c r="K49" s="226"/>
    </row>
    <row r="50" spans="1:11" ht="15" x14ac:dyDescent="0.25">
      <c r="A50" s="29"/>
      <c r="B50" s="221"/>
      <c r="C50" s="34"/>
      <c r="D50" s="34" t="s">
        <v>134</v>
      </c>
      <c r="E50" s="46"/>
      <c r="F50" s="53" t="s">
        <v>98</v>
      </c>
      <c r="G50" s="211"/>
      <c r="H50" s="54">
        <f>SUMIF('Interim Input'!$F$13:$F$172,'Budget Variance Analysis'!$F$13:$F$121,'Interim Input'!$K$13:$K$172)</f>
        <v>2217</v>
      </c>
      <c r="I50" s="55">
        <f>+H50-G50</f>
        <v>2217</v>
      </c>
      <c r="J50" s="134">
        <f t="shared" ref="J50" si="8">IFERROR(+I50/G50,0)</f>
        <v>0</v>
      </c>
      <c r="K50" s="227"/>
    </row>
    <row r="51" spans="1:11" s="122" customFormat="1" ht="15" x14ac:dyDescent="0.25">
      <c r="A51" s="120"/>
      <c r="B51" s="220"/>
      <c r="C51" s="69" t="s">
        <v>83</v>
      </c>
      <c r="D51" s="69"/>
      <c r="E51" s="70"/>
      <c r="F51" s="71"/>
      <c r="G51" s="124">
        <f t="shared" ref="G51:H51" si="9">SUM(G50:G50)</f>
        <v>0</v>
      </c>
      <c r="H51" s="126">
        <f t="shared" si="9"/>
        <v>2217</v>
      </c>
      <c r="I51" s="78">
        <f>SUM(I50)</f>
        <v>2217</v>
      </c>
      <c r="J51" s="135">
        <f>IFERROR(+I51/G51,0)</f>
        <v>0</v>
      </c>
      <c r="K51" s="229"/>
    </row>
    <row r="52" spans="1:11" ht="10.5" customHeight="1" x14ac:dyDescent="0.25">
      <c r="A52" s="29"/>
      <c r="B52" s="230"/>
      <c r="C52" s="62"/>
      <c r="D52" s="62"/>
      <c r="E52" s="47"/>
      <c r="F52" s="46"/>
      <c r="G52" s="64"/>
      <c r="H52" s="64"/>
      <c r="I52" s="65"/>
      <c r="J52" s="65"/>
      <c r="K52" s="226"/>
    </row>
    <row r="53" spans="1:11" ht="15" x14ac:dyDescent="0.25">
      <c r="A53" s="32"/>
      <c r="B53" s="220"/>
      <c r="C53" s="69" t="s">
        <v>2</v>
      </c>
      <c r="D53" s="69"/>
      <c r="E53" s="70"/>
      <c r="F53" s="71"/>
      <c r="G53" s="124">
        <f>G21+G48+G35+G51</f>
        <v>7922568.4000000004</v>
      </c>
      <c r="H53" s="72">
        <f>H21+H48+H35+H51</f>
        <v>8038498.5599999996</v>
      </c>
      <c r="I53" s="72">
        <f>I21+I48+I35+I51</f>
        <v>115930.15999999992</v>
      </c>
      <c r="J53" s="78"/>
      <c r="K53" s="231"/>
    </row>
    <row r="54" spans="1:11" ht="15" x14ac:dyDescent="0.25">
      <c r="A54" s="29"/>
      <c r="B54" s="230" t="s">
        <v>97</v>
      </c>
      <c r="C54" s="62"/>
      <c r="D54" s="62"/>
      <c r="E54" s="47"/>
      <c r="F54" s="46"/>
      <c r="G54" s="68"/>
      <c r="H54" s="54"/>
      <c r="I54" s="65"/>
      <c r="J54" s="65"/>
      <c r="K54" s="226"/>
    </row>
    <row r="55" spans="1:11" ht="15" x14ac:dyDescent="0.25">
      <c r="A55" s="29"/>
      <c r="B55" s="221"/>
      <c r="C55" s="34" t="s">
        <v>3</v>
      </c>
      <c r="D55" s="34"/>
      <c r="E55" s="46"/>
      <c r="F55" s="53"/>
      <c r="G55" s="54"/>
      <c r="H55" s="54"/>
      <c r="I55" s="55"/>
      <c r="J55" s="134"/>
      <c r="K55" s="227"/>
    </row>
    <row r="56" spans="1:11" ht="15" x14ac:dyDescent="0.25">
      <c r="A56" s="29"/>
      <c r="B56" s="221"/>
      <c r="C56" s="34"/>
      <c r="D56" s="34" t="s">
        <v>167</v>
      </c>
      <c r="E56" s="46"/>
      <c r="F56" s="53">
        <v>1100</v>
      </c>
      <c r="G56" s="211">
        <v>2086976</v>
      </c>
      <c r="H56" s="54">
        <f>SUMIF('Interim Input'!$F$13:$F$172,'Budget Variance Analysis'!$F$13:$F$121,'Interim Input'!$K$13:$K$172)</f>
        <v>2508205.4</v>
      </c>
      <c r="I56" s="55">
        <f>+H56-G56</f>
        <v>421229.39999999991</v>
      </c>
      <c r="J56" s="134">
        <f t="shared" ref="J56:J59" si="10">IFERROR(+I56/G56,0)</f>
        <v>0.20183720368609889</v>
      </c>
      <c r="K56" s="227" t="s">
        <v>241</v>
      </c>
    </row>
    <row r="57" spans="1:11" ht="15" x14ac:dyDescent="0.25">
      <c r="A57" s="29"/>
      <c r="B57" s="221"/>
      <c r="C57" s="34"/>
      <c r="D57" s="34" t="s">
        <v>168</v>
      </c>
      <c r="E57" s="46"/>
      <c r="F57" s="53">
        <v>1200</v>
      </c>
      <c r="G57" s="211">
        <v>105000</v>
      </c>
      <c r="H57" s="54">
        <f>SUMIF('Interim Input'!$F$13:$F$172,'Budget Variance Analysis'!$F$13:$F$121,'Interim Input'!$K$13:$K$172)</f>
        <v>188000</v>
      </c>
      <c r="I57" s="55">
        <f>+H57-G57</f>
        <v>83000</v>
      </c>
      <c r="J57" s="134">
        <f t="shared" si="10"/>
        <v>0.79047619047619044</v>
      </c>
      <c r="K57" s="227" t="s">
        <v>240</v>
      </c>
    </row>
    <row r="58" spans="1:11" ht="15" x14ac:dyDescent="0.25">
      <c r="A58" s="29"/>
      <c r="B58" s="221"/>
      <c r="C58" s="34"/>
      <c r="D58" s="34" t="s">
        <v>169</v>
      </c>
      <c r="E58" s="46"/>
      <c r="F58" s="53">
        <v>1300</v>
      </c>
      <c r="G58" s="211">
        <v>756000</v>
      </c>
      <c r="H58" s="54">
        <f>SUMIF('Interim Input'!$F$13:$F$172,'Budget Variance Analysis'!$F$13:$F$121,'Interim Input'!$K$13:$K$172)</f>
        <v>558318.18000000005</v>
      </c>
      <c r="I58" s="55">
        <f>+H58-G58</f>
        <v>-197681.81999999995</v>
      </c>
      <c r="J58" s="134">
        <f t="shared" si="10"/>
        <v>-0.26148388888888879</v>
      </c>
      <c r="K58" s="227" t="s">
        <v>242</v>
      </c>
    </row>
    <row r="59" spans="1:11" ht="15" x14ac:dyDescent="0.25">
      <c r="A59" s="29"/>
      <c r="B59" s="221"/>
      <c r="C59" s="34"/>
      <c r="D59" s="34" t="s">
        <v>55</v>
      </c>
      <c r="E59" s="46"/>
      <c r="F59" s="53">
        <v>1900</v>
      </c>
      <c r="G59" s="211">
        <v>0</v>
      </c>
      <c r="H59" s="54">
        <f>SUMIF('Interim Input'!$F$13:$F$172,'Budget Variance Analysis'!$F$13:$F$121,'Interim Input'!$K$13:$K$172)</f>
        <v>8750</v>
      </c>
      <c r="I59" s="55">
        <f>+H59-G59</f>
        <v>8750</v>
      </c>
      <c r="J59" s="134">
        <f t="shared" si="10"/>
        <v>0</v>
      </c>
      <c r="K59" s="227"/>
    </row>
    <row r="60" spans="1:11" s="122" customFormat="1" ht="15" x14ac:dyDescent="0.25">
      <c r="A60" s="120"/>
      <c r="B60" s="228"/>
      <c r="C60" s="123" t="s">
        <v>4</v>
      </c>
      <c r="D60" s="123"/>
      <c r="E60" s="71"/>
      <c r="F60" s="77"/>
      <c r="G60" s="125">
        <f t="shared" ref="G60:I60" si="11">SUM(G56:G59)</f>
        <v>2947976</v>
      </c>
      <c r="H60" s="126">
        <f t="shared" si="11"/>
        <v>3263273.58</v>
      </c>
      <c r="I60" s="72">
        <f t="shared" si="11"/>
        <v>315297.57999999996</v>
      </c>
      <c r="J60" s="135">
        <f>IFERROR(+I60/G60,0)</f>
        <v>0.10695391685685364</v>
      </c>
      <c r="K60" s="229" t="s">
        <v>240</v>
      </c>
    </row>
    <row r="61" spans="1:11" ht="15" x14ac:dyDescent="0.25">
      <c r="A61" s="29"/>
      <c r="B61" s="221"/>
      <c r="C61" s="34" t="s">
        <v>5</v>
      </c>
      <c r="D61" s="34"/>
      <c r="E61" s="34"/>
      <c r="F61" s="63"/>
      <c r="G61" s="68"/>
      <c r="H61" s="64"/>
      <c r="I61" s="65"/>
      <c r="J61" s="65"/>
      <c r="K61" s="226"/>
    </row>
    <row r="62" spans="1:11" ht="15" x14ac:dyDescent="0.25">
      <c r="A62" s="29"/>
      <c r="B62" s="221"/>
      <c r="C62" s="34"/>
      <c r="D62" s="34" t="s">
        <v>170</v>
      </c>
      <c r="E62" s="34"/>
      <c r="F62" s="63">
        <v>2100</v>
      </c>
      <c r="G62" s="211">
        <v>599709</v>
      </c>
      <c r="H62" s="54">
        <f>SUMIF('Interim Input'!$F$13:$F$172,'Budget Variance Analysis'!$F$13:$F$121,'Interim Input'!$K$13:$K$172)</f>
        <v>561959.98800000001</v>
      </c>
      <c r="I62" s="55">
        <f>+H62-G62</f>
        <v>-37749.011999999988</v>
      </c>
      <c r="J62" s="134">
        <f t="shared" ref="J62:J66" si="12">IFERROR(+I62/G62,0)</f>
        <v>-6.2945548591066644E-2</v>
      </c>
      <c r="K62" s="227"/>
    </row>
    <row r="63" spans="1:11" ht="15" x14ac:dyDescent="0.25">
      <c r="A63" s="29"/>
      <c r="B63" s="221"/>
      <c r="C63" s="34"/>
      <c r="D63" s="34" t="s">
        <v>171</v>
      </c>
      <c r="E63" s="34"/>
      <c r="F63" s="63">
        <v>2200</v>
      </c>
      <c r="G63" s="211">
        <v>188588</v>
      </c>
      <c r="H63" s="54">
        <f>SUMIF('Interim Input'!$F$13:$F$172,'Budget Variance Analysis'!$F$13:$F$121,'Interim Input'!$K$13:$K$172)</f>
        <v>196613.49400000001</v>
      </c>
      <c r="I63" s="55">
        <f>+H63-G63</f>
        <v>8025.4940000000061</v>
      </c>
      <c r="J63" s="134">
        <f t="shared" si="12"/>
        <v>4.2555698135618415E-2</v>
      </c>
      <c r="K63" s="227"/>
    </row>
    <row r="64" spans="1:11" ht="15" x14ac:dyDescent="0.25">
      <c r="A64" s="29"/>
      <c r="B64" s="221"/>
      <c r="C64" s="34"/>
      <c r="D64" s="34" t="s">
        <v>172</v>
      </c>
      <c r="E64" s="34"/>
      <c r="F64" s="63">
        <v>2300</v>
      </c>
      <c r="G64" s="211">
        <v>0</v>
      </c>
      <c r="H64" s="54">
        <f>SUMIF('Interim Input'!$F$13:$F$172,'Budget Variance Analysis'!$F$13:$F$121,'Interim Input'!$K$13:$K$172)</f>
        <v>0</v>
      </c>
      <c r="I64" s="55">
        <f>+H64-G64</f>
        <v>0</v>
      </c>
      <c r="J64" s="134">
        <f t="shared" si="12"/>
        <v>0</v>
      </c>
      <c r="K64" s="227"/>
    </row>
    <row r="65" spans="1:11" ht="15" x14ac:dyDescent="0.25">
      <c r="A65" s="29"/>
      <c r="B65" s="221"/>
      <c r="C65" s="34"/>
      <c r="D65" s="34" t="s">
        <v>56</v>
      </c>
      <c r="E65" s="34"/>
      <c r="F65" s="63">
        <v>2400</v>
      </c>
      <c r="G65" s="211">
        <v>526791</v>
      </c>
      <c r="H65" s="54">
        <f>SUMIF('Interim Input'!$F$13:$F$172,'Budget Variance Analysis'!$F$13:$F$121,'Interim Input'!$K$13:$K$172)</f>
        <v>459907.9</v>
      </c>
      <c r="I65" s="55">
        <f>+H65-G65</f>
        <v>-66883.099999999977</v>
      </c>
      <c r="J65" s="134">
        <f t="shared" si="12"/>
        <v>-0.12696325487717136</v>
      </c>
      <c r="K65" s="227" t="s">
        <v>243</v>
      </c>
    </row>
    <row r="66" spans="1:11" ht="15" x14ac:dyDescent="0.25">
      <c r="A66" s="29"/>
      <c r="B66" s="221"/>
      <c r="C66" s="34"/>
      <c r="D66" s="34" t="s">
        <v>57</v>
      </c>
      <c r="E66" s="34"/>
      <c r="F66" s="63">
        <v>2900</v>
      </c>
      <c r="G66" s="211">
        <v>165848</v>
      </c>
      <c r="H66" s="54">
        <f>SUMIF('Interim Input'!$F$13:$F$172,'Budget Variance Analysis'!$F$13:$F$121,'Interim Input'!$K$13:$K$172)</f>
        <v>164354.5</v>
      </c>
      <c r="I66" s="55">
        <f>+H66-G66</f>
        <v>-1493.5</v>
      </c>
      <c r="J66" s="134">
        <f t="shared" si="12"/>
        <v>-9.0052337079735666E-3</v>
      </c>
      <c r="K66" s="227"/>
    </row>
    <row r="67" spans="1:11" s="122" customFormat="1" ht="15" x14ac:dyDescent="0.25">
      <c r="A67" s="120"/>
      <c r="B67" s="220"/>
      <c r="C67" s="69" t="s">
        <v>6</v>
      </c>
      <c r="D67" s="69"/>
      <c r="E67" s="69"/>
      <c r="F67" s="127"/>
      <c r="G67" s="125">
        <f t="shared" ref="G67:I67" si="13">SUM(G62:G66)</f>
        <v>1480936</v>
      </c>
      <c r="H67" s="124">
        <f t="shared" si="13"/>
        <v>1382835.8820000002</v>
      </c>
      <c r="I67" s="72">
        <f t="shared" si="13"/>
        <v>-98100.117999999959</v>
      </c>
      <c r="J67" s="135">
        <f>IFERROR(+I67/G67,0)</f>
        <v>-6.6241969943333104E-2</v>
      </c>
      <c r="K67" s="229"/>
    </row>
    <row r="68" spans="1:11" ht="15" x14ac:dyDescent="0.25">
      <c r="A68" s="29"/>
      <c r="B68" s="230"/>
      <c r="C68" s="62" t="s">
        <v>7</v>
      </c>
      <c r="D68" s="62"/>
      <c r="E68" s="47"/>
      <c r="F68" s="74"/>
      <c r="G68" s="139"/>
      <c r="H68" s="54"/>
      <c r="I68" s="75"/>
      <c r="J68" s="75"/>
      <c r="K68" s="226"/>
    </row>
    <row r="69" spans="1:11" ht="15" x14ac:dyDescent="0.25">
      <c r="A69" s="29"/>
      <c r="B69" s="221"/>
      <c r="C69" s="34"/>
      <c r="D69" s="34" t="s">
        <v>58</v>
      </c>
      <c r="E69" s="46"/>
      <c r="F69" s="53" t="s">
        <v>8</v>
      </c>
      <c r="G69" s="211">
        <v>538612</v>
      </c>
      <c r="H69" s="54">
        <f>SUMIF('Interim Input'!$F$13:$F$172,'Budget Variance Analysis'!$F$13:$F$121,'Interim Input'!$K$13:$K$172)</f>
        <v>581069.46967999998</v>
      </c>
      <c r="I69" s="55">
        <f t="shared" ref="I69:I77" si="14">+H69-G69</f>
        <v>42457.46967999998</v>
      </c>
      <c r="J69" s="134">
        <f t="shared" ref="J69:J77" si="15">IFERROR(+I69/G69,0)</f>
        <v>7.882755987612601E-2</v>
      </c>
      <c r="K69" s="227"/>
    </row>
    <row r="70" spans="1:11" ht="15" x14ac:dyDescent="0.25">
      <c r="A70" s="29"/>
      <c r="B70" s="221"/>
      <c r="C70" s="34"/>
      <c r="D70" s="34" t="s">
        <v>59</v>
      </c>
      <c r="E70" s="46"/>
      <c r="F70" s="53" t="s">
        <v>9</v>
      </c>
      <c r="G70" s="211">
        <v>0</v>
      </c>
      <c r="H70" s="54">
        <f>SUMIF('Interim Input'!$F$13:$F$172,'Budget Variance Analysis'!$F$13:$F$121,'Interim Input'!$K$13:$K$172)</f>
        <v>0</v>
      </c>
      <c r="I70" s="55">
        <f t="shared" si="14"/>
        <v>0</v>
      </c>
      <c r="J70" s="134">
        <f t="shared" si="15"/>
        <v>0</v>
      </c>
      <c r="K70" s="227"/>
    </row>
    <row r="71" spans="1:11" ht="15" x14ac:dyDescent="0.25">
      <c r="A71" s="29"/>
      <c r="B71" s="221"/>
      <c r="C71" s="34"/>
      <c r="D71" s="34" t="s">
        <v>137</v>
      </c>
      <c r="E71" s="46"/>
      <c r="F71" s="53" t="s">
        <v>10</v>
      </c>
      <c r="G71" s="211">
        <v>163221</v>
      </c>
      <c r="H71" s="54">
        <f>SUMIF('Interim Input'!$F$13:$F$172,'Budget Variance Analysis'!$F$13:$F$121,'Interim Input'!$K$13:$K$172)</f>
        <v>165405.743284</v>
      </c>
      <c r="I71" s="55">
        <f t="shared" si="14"/>
        <v>2184.7432839999965</v>
      </c>
      <c r="J71" s="134">
        <f t="shared" si="15"/>
        <v>1.3385185019084533E-2</v>
      </c>
      <c r="K71" s="227"/>
    </row>
    <row r="72" spans="1:11" ht="15" x14ac:dyDescent="0.25">
      <c r="A72" s="29"/>
      <c r="B72" s="221"/>
      <c r="C72" s="34"/>
      <c r="D72" s="34" t="s">
        <v>60</v>
      </c>
      <c r="E72" s="46"/>
      <c r="F72" s="53" t="s">
        <v>11</v>
      </c>
      <c r="G72" s="211">
        <v>411838.68060000002</v>
      </c>
      <c r="H72" s="54">
        <f>SUMIF('Interim Input'!$F$13:$F$172,'Budget Variance Analysis'!$F$13:$F$121,'Interim Input'!$K$13:$K$172)</f>
        <v>443236.56300000002</v>
      </c>
      <c r="I72" s="55">
        <f t="shared" si="14"/>
        <v>31397.882400000002</v>
      </c>
      <c r="J72" s="134">
        <f t="shared" si="15"/>
        <v>7.62383036830271E-2</v>
      </c>
      <c r="K72" s="227"/>
    </row>
    <row r="73" spans="1:11" ht="15" x14ac:dyDescent="0.25">
      <c r="A73" s="29"/>
      <c r="B73" s="221"/>
      <c r="C73" s="34"/>
      <c r="D73" s="34" t="s">
        <v>61</v>
      </c>
      <c r="E73" s="46"/>
      <c r="F73" s="53" t="s">
        <v>12</v>
      </c>
      <c r="G73" s="211">
        <v>34286</v>
      </c>
      <c r="H73" s="54">
        <f>SUMIF('Interim Input'!$F$13:$F$172,'Budget Variance Analysis'!$F$13:$F$121,'Interim Input'!$K$13:$K$172)</f>
        <v>40297.4</v>
      </c>
      <c r="I73" s="55">
        <f t="shared" si="14"/>
        <v>6011.4000000000015</v>
      </c>
      <c r="J73" s="134">
        <f t="shared" si="15"/>
        <v>0.17533103890800913</v>
      </c>
      <c r="K73" s="227" t="s">
        <v>244</v>
      </c>
    </row>
    <row r="74" spans="1:11" ht="15" x14ac:dyDescent="0.25">
      <c r="A74" s="29"/>
      <c r="B74" s="221"/>
      <c r="C74" s="34"/>
      <c r="D74" s="34" t="s">
        <v>62</v>
      </c>
      <c r="E74" s="46"/>
      <c r="F74" s="53" t="s">
        <v>13</v>
      </c>
      <c r="G74" s="211">
        <v>50334</v>
      </c>
      <c r="H74" s="54">
        <f>SUMIF('Interim Input'!$F$13:$F$172,'Budget Variance Analysis'!$F$13:$F$121,'Interim Input'!$K$13:$K$172)</f>
        <v>53179.216113000002</v>
      </c>
      <c r="I74" s="55">
        <f t="shared" si="14"/>
        <v>2845.2161130000022</v>
      </c>
      <c r="J74" s="134">
        <f t="shared" si="15"/>
        <v>5.6526723745380897E-2</v>
      </c>
      <c r="K74" s="227"/>
    </row>
    <row r="75" spans="1:11" ht="15" x14ac:dyDescent="0.25">
      <c r="A75" s="29"/>
      <c r="B75" s="221"/>
      <c r="C75" s="34"/>
      <c r="D75" s="34" t="s">
        <v>125</v>
      </c>
      <c r="E75" s="46"/>
      <c r="F75" s="53" t="s">
        <v>14</v>
      </c>
      <c r="G75" s="211">
        <v>0</v>
      </c>
      <c r="H75" s="54">
        <f>SUMIF('Interim Input'!$F$13:$F$172,'Budget Variance Analysis'!$F$13:$F$121,'Interim Input'!$K$13:$K$172)</f>
        <v>0</v>
      </c>
      <c r="I75" s="55">
        <f t="shared" si="14"/>
        <v>0</v>
      </c>
      <c r="J75" s="134">
        <f t="shared" si="15"/>
        <v>0</v>
      </c>
      <c r="K75" s="227"/>
    </row>
    <row r="76" spans="1:11" ht="15" x14ac:dyDescent="0.25">
      <c r="A76" s="29"/>
      <c r="B76" s="221"/>
      <c r="C76" s="34"/>
      <c r="D76" s="34" t="s">
        <v>126</v>
      </c>
      <c r="E76" s="46"/>
      <c r="F76" s="53" t="s">
        <v>127</v>
      </c>
      <c r="G76" s="211">
        <v>0</v>
      </c>
      <c r="H76" s="54">
        <f>SUMIF('Interim Input'!$F$13:$F$172,'Budget Variance Analysis'!$F$13:$F$121,'Interim Input'!$K$13:$K$172)</f>
        <v>0</v>
      </c>
      <c r="I76" s="55">
        <f t="shared" si="14"/>
        <v>0</v>
      </c>
      <c r="J76" s="134">
        <f t="shared" si="15"/>
        <v>0</v>
      </c>
      <c r="K76" s="227"/>
    </row>
    <row r="77" spans="1:11" ht="15" x14ac:dyDescent="0.25">
      <c r="A77" s="29"/>
      <c r="B77" s="221"/>
      <c r="C77" s="34"/>
      <c r="D77" s="34" t="s">
        <v>128</v>
      </c>
      <c r="E77" s="46"/>
      <c r="F77" s="53" t="s">
        <v>15</v>
      </c>
      <c r="G77" s="211">
        <v>0</v>
      </c>
      <c r="H77" s="54">
        <f>SUMIF('Interim Input'!$F$13:$F$172,'Budget Variance Analysis'!$F$13:$F$121,'Interim Input'!$K$13:$K$172)</f>
        <v>0</v>
      </c>
      <c r="I77" s="55">
        <f t="shared" si="14"/>
        <v>0</v>
      </c>
      <c r="J77" s="134">
        <f t="shared" si="15"/>
        <v>0</v>
      </c>
      <c r="K77" s="227"/>
    </row>
    <row r="78" spans="1:11" s="122" customFormat="1" ht="15" x14ac:dyDescent="0.25">
      <c r="A78" s="120"/>
      <c r="B78" s="220"/>
      <c r="C78" s="123" t="s">
        <v>16</v>
      </c>
      <c r="D78" s="123"/>
      <c r="E78" s="71"/>
      <c r="F78" s="77"/>
      <c r="G78" s="124">
        <f t="shared" ref="G78:I78" si="16">SUM(G69:G77)</f>
        <v>1198291.6806000001</v>
      </c>
      <c r="H78" s="72">
        <f t="shared" si="16"/>
        <v>1283188.3920769999</v>
      </c>
      <c r="I78" s="72">
        <f t="shared" si="16"/>
        <v>84896.711476999975</v>
      </c>
      <c r="J78" s="135">
        <f>IFERROR(+I78/G78,0)</f>
        <v>7.0848118910824029E-2</v>
      </c>
      <c r="K78" s="229"/>
    </row>
    <row r="79" spans="1:11" ht="15" x14ac:dyDescent="0.25">
      <c r="A79" s="29"/>
      <c r="B79" s="230"/>
      <c r="C79" s="62" t="s">
        <v>17</v>
      </c>
      <c r="D79" s="62"/>
      <c r="E79" s="47"/>
      <c r="F79" s="53"/>
      <c r="G79" s="139"/>
      <c r="H79" s="54"/>
      <c r="I79" s="65"/>
      <c r="J79" s="65"/>
      <c r="K79" s="226"/>
    </row>
    <row r="80" spans="1:11" ht="15" x14ac:dyDescent="0.25">
      <c r="A80" s="29"/>
      <c r="B80" s="221"/>
      <c r="C80" s="34"/>
      <c r="D80" s="34" t="s">
        <v>63</v>
      </c>
      <c r="E80" s="46"/>
      <c r="F80" s="53">
        <v>4100</v>
      </c>
      <c r="G80" s="211">
        <v>150000</v>
      </c>
      <c r="H80" s="54">
        <f>SUMIF('Interim Input'!$F$13:$F$172,'Budget Variance Analysis'!$F$13:$F$121,'Interim Input'!$K$13:$K$172)</f>
        <v>150000</v>
      </c>
      <c r="I80" s="55">
        <f>+H80-G80</f>
        <v>0</v>
      </c>
      <c r="J80" s="134">
        <f t="shared" ref="J80:J84" si="17">IFERROR(+I80/G80,0)</f>
        <v>0</v>
      </c>
      <c r="K80" s="227"/>
    </row>
    <row r="81" spans="1:11" ht="15" x14ac:dyDescent="0.25">
      <c r="A81" s="29"/>
      <c r="B81" s="221"/>
      <c r="C81" s="34"/>
      <c r="D81" s="34" t="s">
        <v>64</v>
      </c>
      <c r="E81" s="46"/>
      <c r="F81" s="53">
        <v>4200</v>
      </c>
      <c r="G81" s="211">
        <v>19000</v>
      </c>
      <c r="H81" s="54">
        <f>SUMIF('Interim Input'!$F$13:$F$172,'Budget Variance Analysis'!$F$13:$F$121,'Interim Input'!$K$13:$K$172)</f>
        <v>19000</v>
      </c>
      <c r="I81" s="55">
        <f>+H81-G81</f>
        <v>0</v>
      </c>
      <c r="J81" s="134">
        <f t="shared" si="17"/>
        <v>0</v>
      </c>
      <c r="K81" s="227"/>
    </row>
    <row r="82" spans="1:11" ht="15" x14ac:dyDescent="0.25">
      <c r="A82" s="29"/>
      <c r="B82" s="221"/>
      <c r="C82" s="34"/>
      <c r="D82" s="34" t="s">
        <v>65</v>
      </c>
      <c r="E82" s="46"/>
      <c r="F82" s="53">
        <v>4300</v>
      </c>
      <c r="G82" s="211">
        <v>195000</v>
      </c>
      <c r="H82" s="54">
        <f>SUMIF('Interim Input'!$F$13:$F$172,'Budget Variance Analysis'!$F$13:$F$121,'Interim Input'!$K$13:$K$172)</f>
        <v>195000</v>
      </c>
      <c r="I82" s="55">
        <f>+H82-G82</f>
        <v>0</v>
      </c>
      <c r="J82" s="134">
        <f t="shared" si="17"/>
        <v>0</v>
      </c>
      <c r="K82" s="227"/>
    </row>
    <row r="83" spans="1:11" ht="15" x14ac:dyDescent="0.25">
      <c r="A83" s="29"/>
      <c r="B83" s="221"/>
      <c r="C83" s="34"/>
      <c r="D83" s="34" t="s">
        <v>66</v>
      </c>
      <c r="E83" s="46"/>
      <c r="F83" s="53">
        <v>4400</v>
      </c>
      <c r="G83" s="211">
        <v>267000</v>
      </c>
      <c r="H83" s="54">
        <f>SUMIF('Interim Input'!$F$13:$F$172,'Budget Variance Analysis'!$F$13:$F$121,'Interim Input'!$K$13:$K$172)</f>
        <v>267000</v>
      </c>
      <c r="I83" s="55">
        <f>+H83-G83</f>
        <v>0</v>
      </c>
      <c r="J83" s="134">
        <f t="shared" si="17"/>
        <v>0</v>
      </c>
      <c r="K83" s="227"/>
    </row>
    <row r="84" spans="1:11" ht="15" x14ac:dyDescent="0.25">
      <c r="A84" s="29"/>
      <c r="B84" s="221"/>
      <c r="C84" s="34"/>
      <c r="D84" s="34" t="s">
        <v>138</v>
      </c>
      <c r="E84" s="46"/>
      <c r="F84" s="53">
        <v>4700</v>
      </c>
      <c r="G84" s="211">
        <v>1000</v>
      </c>
      <c r="H84" s="54">
        <f>SUMIF('Interim Input'!$F$13:$F$172,'Budget Variance Analysis'!$F$13:$F$121,'Interim Input'!$K$13:$K$172)</f>
        <v>1000</v>
      </c>
      <c r="I84" s="55">
        <f>+H84-G84</f>
        <v>0</v>
      </c>
      <c r="J84" s="134">
        <f t="shared" si="17"/>
        <v>0</v>
      </c>
      <c r="K84" s="227"/>
    </row>
    <row r="85" spans="1:11" s="122" customFormat="1" ht="15" x14ac:dyDescent="0.25">
      <c r="A85" s="120"/>
      <c r="B85" s="220"/>
      <c r="C85" s="69" t="s">
        <v>18</v>
      </c>
      <c r="D85" s="69"/>
      <c r="E85" s="70"/>
      <c r="F85" s="77"/>
      <c r="G85" s="124">
        <f t="shared" ref="G85:I85" si="18">SUM(G80:G84)</f>
        <v>632000</v>
      </c>
      <c r="H85" s="72">
        <f t="shared" si="18"/>
        <v>632000</v>
      </c>
      <c r="I85" s="124">
        <f t="shared" si="18"/>
        <v>0</v>
      </c>
      <c r="J85" s="135">
        <f>IFERROR(+I85/G85,0)</f>
        <v>0</v>
      </c>
      <c r="K85" s="229"/>
    </row>
    <row r="86" spans="1:11" ht="15" x14ac:dyDescent="0.25">
      <c r="A86" s="29"/>
      <c r="B86" s="230"/>
      <c r="C86" s="62" t="s">
        <v>19</v>
      </c>
      <c r="D86" s="62"/>
      <c r="E86" s="47"/>
      <c r="F86" s="53"/>
      <c r="G86" s="139"/>
      <c r="H86" s="54"/>
      <c r="I86" s="65"/>
      <c r="J86" s="65"/>
      <c r="K86" s="226"/>
    </row>
    <row r="87" spans="1:11" ht="15" x14ac:dyDescent="0.25">
      <c r="A87" s="29"/>
      <c r="B87" s="221"/>
      <c r="C87" s="34"/>
      <c r="D87" s="34" t="s">
        <v>72</v>
      </c>
      <c r="E87" s="46"/>
      <c r="F87" s="53">
        <v>5100</v>
      </c>
      <c r="G87" s="211">
        <v>0</v>
      </c>
      <c r="H87" s="54">
        <f>SUMIF('Interim Input'!$F$13:$F$172,'Budget Variance Analysis'!$F$13:$F$121,'Interim Input'!$K$13:$K$172)</f>
        <v>0</v>
      </c>
      <c r="I87" s="55">
        <f t="shared" ref="I87:I95" si="19">+H87-G87</f>
        <v>0</v>
      </c>
      <c r="J87" s="134">
        <f t="shared" ref="J87:J95" si="20">IFERROR(+I87/G87,0)</f>
        <v>0</v>
      </c>
      <c r="K87" s="227"/>
    </row>
    <row r="88" spans="1:11" ht="15" x14ac:dyDescent="0.25">
      <c r="A88" s="29"/>
      <c r="B88" s="221"/>
      <c r="C88" s="34"/>
      <c r="D88" s="34" t="s">
        <v>67</v>
      </c>
      <c r="E88" s="46"/>
      <c r="F88" s="53">
        <v>5200</v>
      </c>
      <c r="G88" s="211">
        <v>55000</v>
      </c>
      <c r="H88" s="54">
        <f>SUMIF('Interim Input'!$F$13:$F$172,'Budget Variance Analysis'!$F$13:$F$121,'Interim Input'!$K$13:$K$172)</f>
        <v>55000</v>
      </c>
      <c r="I88" s="55">
        <f t="shared" si="19"/>
        <v>0</v>
      </c>
      <c r="J88" s="134">
        <f t="shared" si="20"/>
        <v>0</v>
      </c>
      <c r="K88" s="227"/>
    </row>
    <row r="89" spans="1:11" ht="15" x14ac:dyDescent="0.25">
      <c r="A89" s="29"/>
      <c r="B89" s="221"/>
      <c r="C89" s="34"/>
      <c r="D89" s="34" t="s">
        <v>68</v>
      </c>
      <c r="E89" s="46"/>
      <c r="F89" s="53">
        <v>5300</v>
      </c>
      <c r="G89" s="211">
        <v>10000</v>
      </c>
      <c r="H89" s="54">
        <f>SUMIF('Interim Input'!$F$13:$F$172,'Budget Variance Analysis'!$F$13:$F$121,'Interim Input'!$K$13:$K$172)</f>
        <v>10000</v>
      </c>
      <c r="I89" s="55">
        <f t="shared" si="19"/>
        <v>0</v>
      </c>
      <c r="J89" s="134">
        <f t="shared" si="20"/>
        <v>0</v>
      </c>
      <c r="K89" s="227"/>
    </row>
    <row r="90" spans="1:11" ht="15" x14ac:dyDescent="0.25">
      <c r="A90" s="29"/>
      <c r="B90" s="221"/>
      <c r="C90" s="34"/>
      <c r="D90" s="34" t="s">
        <v>69</v>
      </c>
      <c r="E90" s="46"/>
      <c r="F90" s="53">
        <v>5400</v>
      </c>
      <c r="G90" s="211">
        <v>30000</v>
      </c>
      <c r="H90" s="54">
        <f>SUMIF('Interim Input'!$F$13:$F$172,'Budget Variance Analysis'!$F$13:$F$121,'Interim Input'!$K$13:$K$172)</f>
        <v>30000</v>
      </c>
      <c r="I90" s="55">
        <f t="shared" si="19"/>
        <v>0</v>
      </c>
      <c r="J90" s="134">
        <f t="shared" si="20"/>
        <v>0</v>
      </c>
      <c r="K90" s="227"/>
    </row>
    <row r="91" spans="1:11" ht="15" x14ac:dyDescent="0.25">
      <c r="A91" s="29"/>
      <c r="B91" s="221"/>
      <c r="C91" s="34"/>
      <c r="D91" s="34" t="s">
        <v>70</v>
      </c>
      <c r="E91" s="46"/>
      <c r="F91" s="53">
        <v>5500</v>
      </c>
      <c r="G91" s="211">
        <v>190000</v>
      </c>
      <c r="H91" s="54">
        <f>SUMIF('Interim Input'!$F$13:$F$172,'Budget Variance Analysis'!$F$13:$F$121,'Interim Input'!$K$13:$K$172)</f>
        <v>190000</v>
      </c>
      <c r="I91" s="55">
        <f t="shared" si="19"/>
        <v>0</v>
      </c>
      <c r="J91" s="134">
        <f t="shared" si="20"/>
        <v>0</v>
      </c>
      <c r="K91" s="227"/>
    </row>
    <row r="92" spans="1:11" ht="15" x14ac:dyDescent="0.25">
      <c r="A92" s="29"/>
      <c r="B92" s="221"/>
      <c r="C92" s="34"/>
      <c r="D92" s="34" t="s">
        <v>173</v>
      </c>
      <c r="E92" s="46"/>
      <c r="F92" s="53">
        <v>5600</v>
      </c>
      <c r="G92" s="211">
        <v>327243.5</v>
      </c>
      <c r="H92" s="54">
        <f>SUMIF('Interim Input'!$F$13:$F$172,'Budget Variance Analysis'!$F$13:$F$121,'Interim Input'!$K$13:$K$172)</f>
        <v>327244.2</v>
      </c>
      <c r="I92" s="55">
        <f t="shared" si="19"/>
        <v>0.70000000001164153</v>
      </c>
      <c r="J92" s="134">
        <f t="shared" si="20"/>
        <v>2.1390799206451511E-6</v>
      </c>
      <c r="K92" s="227"/>
    </row>
    <row r="93" spans="1:11" ht="15" x14ac:dyDescent="0.25">
      <c r="A93" s="29"/>
      <c r="B93" s="221"/>
      <c r="C93" s="34"/>
      <c r="D93" s="34" t="s">
        <v>197</v>
      </c>
      <c r="E93" s="46"/>
      <c r="F93" s="53">
        <v>5700</v>
      </c>
      <c r="G93" s="211">
        <v>0</v>
      </c>
      <c r="H93" s="54">
        <f>SUMIF('Interim Input'!$F$13:$F$172,'Budget Variance Analysis'!$F$13:$F$121,'Interim Input'!$K$13:$K$172)</f>
        <v>0</v>
      </c>
      <c r="I93" s="55">
        <f t="shared" si="19"/>
        <v>0</v>
      </c>
      <c r="J93" s="134">
        <f t="shared" si="20"/>
        <v>0</v>
      </c>
      <c r="K93" s="227"/>
    </row>
    <row r="94" spans="1:11" ht="15" x14ac:dyDescent="0.25">
      <c r="A94" s="29"/>
      <c r="B94" s="221"/>
      <c r="C94" s="34"/>
      <c r="D94" s="34" t="s">
        <v>198</v>
      </c>
      <c r="E94" s="46"/>
      <c r="F94" s="53">
        <v>5800</v>
      </c>
      <c r="G94" s="211">
        <v>812319</v>
      </c>
      <c r="H94" s="54">
        <f>SUMIF('Interim Input'!$F$13:$F$172,'Budget Variance Analysis'!$F$13:$F$121,'Interim Input'!$K$13:$K$172)</f>
        <v>890119.53</v>
      </c>
      <c r="I94" s="55">
        <f t="shared" si="19"/>
        <v>77800.530000000028</v>
      </c>
      <c r="J94" s="134">
        <f t="shared" si="20"/>
        <v>9.5775834370487492E-2</v>
      </c>
      <c r="K94" s="227"/>
    </row>
    <row r="95" spans="1:11" ht="15" x14ac:dyDescent="0.25">
      <c r="A95" s="29"/>
      <c r="B95" s="221"/>
      <c r="C95" s="34"/>
      <c r="D95" s="34" t="s">
        <v>71</v>
      </c>
      <c r="E95" s="46"/>
      <c r="F95" s="53">
        <v>5900</v>
      </c>
      <c r="G95" s="211">
        <v>105000</v>
      </c>
      <c r="H95" s="54">
        <f>SUMIF('Interim Input'!$F$13:$F$172,'Budget Variance Analysis'!$F$13:$F$121,'Interim Input'!$K$13:$K$172)</f>
        <v>55000</v>
      </c>
      <c r="I95" s="55">
        <f t="shared" si="19"/>
        <v>-50000</v>
      </c>
      <c r="J95" s="134">
        <f t="shared" si="20"/>
        <v>-0.47619047619047616</v>
      </c>
      <c r="K95" s="227" t="s">
        <v>245</v>
      </c>
    </row>
    <row r="96" spans="1:11" s="122" customFormat="1" ht="15" x14ac:dyDescent="0.25">
      <c r="A96" s="120"/>
      <c r="B96" s="220"/>
      <c r="C96" s="69" t="s">
        <v>20</v>
      </c>
      <c r="D96" s="69"/>
      <c r="E96" s="70"/>
      <c r="F96" s="77"/>
      <c r="G96" s="124">
        <f t="shared" ref="G96:I96" si="21">SUM(G86:G95)</f>
        <v>1529562.5</v>
      </c>
      <c r="H96" s="72">
        <f t="shared" si="21"/>
        <v>1557363.73</v>
      </c>
      <c r="I96" s="72">
        <f t="shared" si="21"/>
        <v>27801.23000000004</v>
      </c>
      <c r="J96" s="135">
        <f>IFERROR(+I96/G96,0)</f>
        <v>1.8175935929391599E-2</v>
      </c>
      <c r="K96" s="229"/>
    </row>
    <row r="97" spans="1:11" ht="15" x14ac:dyDescent="0.25">
      <c r="A97" s="29"/>
      <c r="B97" s="230"/>
      <c r="C97" s="62" t="s">
        <v>76</v>
      </c>
      <c r="D97" s="62"/>
      <c r="E97" s="47"/>
      <c r="F97" s="53"/>
      <c r="G97" s="139"/>
      <c r="H97" s="54"/>
      <c r="I97" s="65"/>
      <c r="J97" s="65"/>
      <c r="K97" s="226"/>
    </row>
    <row r="98" spans="1:11" ht="15" x14ac:dyDescent="0.25">
      <c r="A98" s="29"/>
      <c r="B98" s="221"/>
      <c r="C98" s="34"/>
      <c r="D98" s="34" t="s">
        <v>129</v>
      </c>
      <c r="E98" s="46"/>
      <c r="F98" s="53">
        <v>6900</v>
      </c>
      <c r="G98" s="211">
        <v>59016.72</v>
      </c>
      <c r="H98" s="54">
        <f>SUMIF('Interim Input'!$F$13:$F$172,'Budget Variance Analysis'!$F$13:$F$121,'Interim Input'!$K$13:$K$172)</f>
        <v>59016.72</v>
      </c>
      <c r="I98" s="55">
        <f>+H98-G98</f>
        <v>0</v>
      </c>
      <c r="J98" s="134">
        <f t="shared" ref="J98" si="22">IFERROR(+I98/G98,0)</f>
        <v>0</v>
      </c>
      <c r="K98" s="227"/>
    </row>
    <row r="99" spans="1:11" s="122" customFormat="1" ht="15" x14ac:dyDescent="0.25">
      <c r="A99" s="120"/>
      <c r="B99" s="220"/>
      <c r="C99" s="69" t="s">
        <v>21</v>
      </c>
      <c r="D99" s="69"/>
      <c r="E99" s="70"/>
      <c r="F99" s="77"/>
      <c r="G99" s="124">
        <f t="shared" ref="G99:I99" si="23">SUM(G98:G98)</f>
        <v>59016.72</v>
      </c>
      <c r="H99" s="72">
        <f t="shared" si="23"/>
        <v>59016.72</v>
      </c>
      <c r="I99" s="72">
        <f t="shared" si="23"/>
        <v>0</v>
      </c>
      <c r="J99" s="135">
        <f>IFERROR(+I99/G99,0)</f>
        <v>0</v>
      </c>
      <c r="K99" s="229"/>
    </row>
    <row r="100" spans="1:11" ht="15" x14ac:dyDescent="0.25">
      <c r="A100" s="29"/>
      <c r="B100" s="230"/>
      <c r="C100" s="62" t="s">
        <v>22</v>
      </c>
      <c r="D100" s="62"/>
      <c r="E100" s="47"/>
      <c r="F100" s="74"/>
      <c r="G100" s="139"/>
      <c r="H100" s="54"/>
      <c r="I100" s="75"/>
      <c r="J100" s="75"/>
      <c r="K100" s="226"/>
    </row>
    <row r="101" spans="1:11" ht="15" x14ac:dyDescent="0.25">
      <c r="A101" s="29"/>
      <c r="B101" s="221"/>
      <c r="C101" s="34"/>
      <c r="D101" s="34" t="s">
        <v>199</v>
      </c>
      <c r="E101" s="46"/>
      <c r="F101" s="53" t="s">
        <v>23</v>
      </c>
      <c r="G101" s="211">
        <v>0</v>
      </c>
      <c r="H101" s="54">
        <f>SUMIF('Interim Input'!$F$13:$F$172,'Budget Variance Analysis'!$F$13:$F$121,'Interim Input'!$K$13:$K$172)</f>
        <v>0</v>
      </c>
      <c r="I101" s="55">
        <f t="shared" ref="I101:I107" si="24">+H101-G101</f>
        <v>0</v>
      </c>
      <c r="J101" s="134">
        <f t="shared" ref="J101:J107" si="25">IFERROR(+I101/G101,0)</f>
        <v>0</v>
      </c>
      <c r="K101" s="227"/>
    </row>
    <row r="102" spans="1:11" ht="15" x14ac:dyDescent="0.25">
      <c r="A102" s="29"/>
      <c r="B102" s="221"/>
      <c r="C102" s="34"/>
      <c r="D102" s="34" t="s">
        <v>174</v>
      </c>
      <c r="E102" s="46"/>
      <c r="F102" s="53" t="s">
        <v>24</v>
      </c>
      <c r="G102" s="211">
        <v>0</v>
      </c>
      <c r="H102" s="54">
        <f>SUMIF('Interim Input'!$F$13:$F$172,'Budget Variance Analysis'!$F$13:$F$121,'Interim Input'!$K$13:$K$172)</f>
        <v>0</v>
      </c>
      <c r="I102" s="55">
        <f t="shared" si="24"/>
        <v>0</v>
      </c>
      <c r="J102" s="134">
        <f t="shared" si="25"/>
        <v>0</v>
      </c>
      <c r="K102" s="227"/>
    </row>
    <row r="103" spans="1:11" ht="15" x14ac:dyDescent="0.25">
      <c r="A103" s="29"/>
      <c r="B103" s="221"/>
      <c r="C103" s="34"/>
      <c r="D103" s="34" t="s">
        <v>73</v>
      </c>
      <c r="E103" s="46"/>
      <c r="F103" s="53" t="s">
        <v>25</v>
      </c>
      <c r="G103" s="211">
        <v>0</v>
      </c>
      <c r="H103" s="54">
        <f>SUMIF('Interim Input'!$F$13:$F$172,'Budget Variance Analysis'!$F$13:$F$121,'Interim Input'!$K$13:$K$172)</f>
        <v>0</v>
      </c>
      <c r="I103" s="55">
        <f t="shared" si="24"/>
        <v>0</v>
      </c>
      <c r="J103" s="134">
        <f t="shared" si="25"/>
        <v>0</v>
      </c>
      <c r="K103" s="227"/>
    </row>
    <row r="104" spans="1:11" ht="15" x14ac:dyDescent="0.25">
      <c r="A104" s="29"/>
      <c r="B104" s="221"/>
      <c r="C104" s="34"/>
      <c r="D104" s="34" t="s">
        <v>26</v>
      </c>
      <c r="E104" s="46"/>
      <c r="F104" s="53" t="s">
        <v>27</v>
      </c>
      <c r="G104" s="211">
        <v>0</v>
      </c>
      <c r="H104" s="54">
        <f>SUMIF('Interim Input'!$F$13:$F$172,'Budget Variance Analysis'!$F$13:$F$121,'Interim Input'!$K$13:$K$172)</f>
        <v>0</v>
      </c>
      <c r="I104" s="55">
        <f t="shared" si="24"/>
        <v>0</v>
      </c>
      <c r="J104" s="134">
        <f t="shared" si="25"/>
        <v>0</v>
      </c>
      <c r="K104" s="227"/>
    </row>
    <row r="105" spans="1:11" ht="15" x14ac:dyDescent="0.25">
      <c r="A105" s="29"/>
      <c r="B105" s="221"/>
      <c r="C105" s="34"/>
      <c r="D105" s="34" t="s">
        <v>200</v>
      </c>
      <c r="E105" s="46"/>
      <c r="F105" s="53" t="s">
        <v>183</v>
      </c>
      <c r="G105" s="211">
        <v>0</v>
      </c>
      <c r="H105" s="54">
        <f>SUMIF('Interim Input'!$F$13:$F$172,'Budget Variance Analysis'!$F$13:$F$121,'Interim Input'!$K$13:$K$172)</f>
        <v>0</v>
      </c>
      <c r="I105" s="55">
        <f t="shared" si="24"/>
        <v>0</v>
      </c>
      <c r="J105" s="134">
        <f t="shared" si="25"/>
        <v>0</v>
      </c>
      <c r="K105" s="227"/>
    </row>
    <row r="106" spans="1:11" ht="15" x14ac:dyDescent="0.25">
      <c r="A106" s="29"/>
      <c r="B106" s="221"/>
      <c r="C106" s="34"/>
      <c r="D106" s="34" t="s">
        <v>101</v>
      </c>
      <c r="E106" s="46"/>
      <c r="F106" s="53" t="s">
        <v>184</v>
      </c>
      <c r="G106" s="211">
        <v>4504</v>
      </c>
      <c r="H106" s="54">
        <f>SUMIF('Interim Input'!$F$13:$F$172,'Budget Variance Analysis'!$F$13:$F$121,'Interim Input'!$K$13:$K$172)</f>
        <v>4504</v>
      </c>
      <c r="I106" s="55">
        <f t="shared" si="24"/>
        <v>0</v>
      </c>
      <c r="J106" s="134">
        <f t="shared" si="25"/>
        <v>0</v>
      </c>
      <c r="K106" s="227"/>
    </row>
    <row r="107" spans="1:11" ht="15" x14ac:dyDescent="0.25">
      <c r="A107" s="29"/>
      <c r="B107" s="221"/>
      <c r="C107" s="34"/>
      <c r="D107" s="34" t="s">
        <v>75</v>
      </c>
      <c r="E107" s="46"/>
      <c r="F107" s="53">
        <v>7439</v>
      </c>
      <c r="G107" s="211">
        <v>0</v>
      </c>
      <c r="H107" s="54">
        <f>SUMIF('Interim Input'!$F$13:$F$172,'Budget Variance Analysis'!$F$13:$F$121,'Interim Input'!$K$13:$K$172)</f>
        <v>0</v>
      </c>
      <c r="I107" s="55">
        <f t="shared" si="24"/>
        <v>0</v>
      </c>
      <c r="J107" s="134">
        <f t="shared" si="25"/>
        <v>0</v>
      </c>
      <c r="K107" s="227"/>
    </row>
    <row r="108" spans="1:11" s="122" customFormat="1" ht="15" x14ac:dyDescent="0.25">
      <c r="A108" s="120"/>
      <c r="B108" s="220"/>
      <c r="C108" s="69" t="s">
        <v>28</v>
      </c>
      <c r="D108" s="69"/>
      <c r="E108" s="70"/>
      <c r="F108" s="77"/>
      <c r="G108" s="140">
        <f>SUM(G101:G107)</f>
        <v>4504</v>
      </c>
      <c r="H108" s="124">
        <f>SUM(H101:H107)</f>
        <v>4504</v>
      </c>
      <c r="I108" s="72">
        <f>SUM(I101:I107)</f>
        <v>0</v>
      </c>
      <c r="J108" s="135">
        <f>IFERROR(+I108/G108,0)</f>
        <v>0</v>
      </c>
      <c r="K108" s="229"/>
    </row>
    <row r="109" spans="1:11" ht="10.5" customHeight="1" x14ac:dyDescent="0.25">
      <c r="A109" s="29"/>
      <c r="B109" s="230"/>
      <c r="C109" s="62"/>
      <c r="D109" s="62"/>
      <c r="E109" s="47"/>
      <c r="F109" s="53"/>
      <c r="G109" s="54"/>
      <c r="H109" s="54"/>
      <c r="I109" s="65"/>
      <c r="J109" s="65"/>
      <c r="K109" s="232"/>
    </row>
    <row r="110" spans="1:11" ht="15" x14ac:dyDescent="0.25">
      <c r="A110" s="32"/>
      <c r="B110" s="220"/>
      <c r="C110" s="69" t="s">
        <v>29</v>
      </c>
      <c r="D110" s="69"/>
      <c r="E110" s="70"/>
      <c r="F110" s="77"/>
      <c r="G110" s="124">
        <f>+G60+G67+G78+G85+G96+G99+G108</f>
        <v>7852286.9006000003</v>
      </c>
      <c r="H110" s="78">
        <f>+H60+H67+H78+H85+H96+H99+H108</f>
        <v>8182182.3040770004</v>
      </c>
      <c r="I110" s="78">
        <f>+I60+I67+I78+I85+I96+I99+I108</f>
        <v>329895.40347700001</v>
      </c>
      <c r="J110" s="136"/>
      <c r="K110" s="229"/>
    </row>
    <row r="111" spans="1:11" ht="15" x14ac:dyDescent="0.25">
      <c r="A111" s="29"/>
      <c r="B111" s="230" t="s">
        <v>30</v>
      </c>
      <c r="C111" s="62"/>
      <c r="D111" s="62"/>
      <c r="E111" s="47"/>
      <c r="F111" s="53"/>
      <c r="G111" s="139"/>
      <c r="H111" s="54"/>
      <c r="I111" s="54"/>
      <c r="J111" s="137"/>
      <c r="K111" s="226"/>
    </row>
    <row r="112" spans="1:11" ht="15" x14ac:dyDescent="0.25">
      <c r="A112" s="29"/>
      <c r="B112" s="221"/>
      <c r="C112" s="34" t="s">
        <v>31</v>
      </c>
      <c r="D112" s="34"/>
      <c r="E112" s="46"/>
      <c r="F112" s="57"/>
      <c r="G112" s="195">
        <f>+G53-G110</f>
        <v>70281.499400000088</v>
      </c>
      <c r="H112" s="59">
        <f>+H53-H110</f>
        <v>-143683.74407700077</v>
      </c>
      <c r="I112" s="59"/>
      <c r="J112" s="137"/>
      <c r="K112" s="227"/>
    </row>
    <row r="113" spans="1:11" ht="9" customHeight="1" x14ac:dyDescent="0.25">
      <c r="A113" s="29"/>
      <c r="B113" s="230"/>
      <c r="C113" s="62"/>
      <c r="D113" s="62"/>
      <c r="E113" s="47"/>
      <c r="F113" s="53"/>
      <c r="G113" s="68"/>
      <c r="H113" s="54"/>
      <c r="I113" s="54"/>
      <c r="J113" s="137"/>
      <c r="K113" s="227"/>
    </row>
    <row r="114" spans="1:11" ht="15" x14ac:dyDescent="0.25">
      <c r="A114" s="29"/>
      <c r="B114" s="221" t="s">
        <v>99</v>
      </c>
      <c r="C114" s="34"/>
      <c r="D114" s="34"/>
      <c r="E114" s="46"/>
      <c r="F114" s="53"/>
      <c r="G114" s="54"/>
      <c r="H114" s="54"/>
      <c r="I114" s="54"/>
      <c r="J114" s="137"/>
      <c r="K114" s="227"/>
    </row>
    <row r="115" spans="1:11" ht="15" x14ac:dyDescent="0.25">
      <c r="A115" s="29"/>
      <c r="B115" s="221"/>
      <c r="C115" s="34" t="s">
        <v>84</v>
      </c>
      <c r="D115" s="34"/>
      <c r="E115" s="46"/>
      <c r="F115" s="53" t="s">
        <v>32</v>
      </c>
      <c r="G115" s="211"/>
      <c r="H115" s="54">
        <f>SUMIF('Interim Input'!$F$13:$F$172,'Budget Variance Analysis'!$F$13:$F$121,'Interim Input'!$K$13:$K$172)</f>
        <v>0</v>
      </c>
      <c r="I115" s="54">
        <f t="shared" ref="I115:I117" si="26">+H115-G115</f>
        <v>0</v>
      </c>
      <c r="J115" s="137"/>
      <c r="K115" s="227"/>
    </row>
    <row r="116" spans="1:11" ht="15" x14ac:dyDescent="0.25">
      <c r="A116" s="29"/>
      <c r="B116" s="221"/>
      <c r="C116" s="34" t="s">
        <v>33</v>
      </c>
      <c r="D116" s="34"/>
      <c r="E116" s="46"/>
      <c r="F116" s="53" t="s">
        <v>34</v>
      </c>
      <c r="G116" s="211"/>
      <c r="H116" s="54">
        <f>SUMIF('Interim Input'!$F$13:$F$172,'Budget Variance Analysis'!$F$13:$F$121,'Interim Input'!$K$13:$K$172)</f>
        <v>0</v>
      </c>
      <c r="I116" s="54">
        <f>+H116-G116</f>
        <v>0</v>
      </c>
      <c r="J116" s="137"/>
      <c r="K116" s="227"/>
    </row>
    <row r="117" spans="1:11" ht="15" x14ac:dyDescent="0.25">
      <c r="A117" s="29"/>
      <c r="B117" s="233"/>
      <c r="C117" s="26" t="s">
        <v>201</v>
      </c>
      <c r="D117" s="26"/>
      <c r="E117" s="142"/>
      <c r="F117" s="53" t="s">
        <v>35</v>
      </c>
      <c r="G117" s="190"/>
      <c r="H117" s="144">
        <f>SUMIF('Interim Input'!$F$13:$F$172,'Budget Variance Analysis'!$F$13:$F$121,'Interim Input'!$K$13:$K$172)</f>
        <v>0</v>
      </c>
      <c r="I117" s="54">
        <f t="shared" si="26"/>
        <v>0</v>
      </c>
      <c r="J117" s="137"/>
      <c r="K117" s="227"/>
    </row>
    <row r="118" spans="1:11" ht="15" x14ac:dyDescent="0.25">
      <c r="A118" s="29"/>
      <c r="B118" s="221"/>
      <c r="C118" s="34"/>
      <c r="D118" s="79" t="s">
        <v>105</v>
      </c>
      <c r="E118" s="80"/>
      <c r="F118" s="53"/>
      <c r="G118" s="54"/>
      <c r="H118" s="54"/>
      <c r="I118" s="54"/>
      <c r="J118" s="137"/>
      <c r="K118" s="227"/>
    </row>
    <row r="119" spans="1:11" ht="15" x14ac:dyDescent="0.25">
      <c r="A119" s="29"/>
      <c r="B119" s="221"/>
      <c r="C119" s="34" t="s">
        <v>85</v>
      </c>
      <c r="D119" s="34"/>
      <c r="E119" s="46"/>
      <c r="F119" s="57"/>
      <c r="G119" s="212">
        <f>SUM(G115:G117)</f>
        <v>0</v>
      </c>
      <c r="H119" s="59">
        <f>SUM(H115:H117)</f>
        <v>0</v>
      </c>
      <c r="I119" s="59">
        <f>+H119-G119</f>
        <v>0</v>
      </c>
      <c r="J119" s="137"/>
      <c r="K119" s="229"/>
    </row>
    <row r="120" spans="1:11" ht="9" customHeight="1" x14ac:dyDescent="0.25">
      <c r="A120" s="29"/>
      <c r="B120" s="230"/>
      <c r="C120" s="62"/>
      <c r="D120" s="62"/>
      <c r="E120" s="47"/>
      <c r="F120" s="53"/>
      <c r="G120" s="146"/>
      <c r="H120" s="54"/>
      <c r="I120" s="54"/>
      <c r="J120" s="137"/>
      <c r="K120" s="234"/>
    </row>
    <row r="121" spans="1:11" ht="15.75" thickBot="1" x14ac:dyDescent="0.3">
      <c r="A121" s="27"/>
      <c r="B121" s="235" t="s">
        <v>202</v>
      </c>
      <c r="C121" s="45"/>
      <c r="D121" s="45"/>
      <c r="E121" s="56"/>
      <c r="F121" s="57"/>
      <c r="G121" s="195">
        <f>+G112+G119</f>
        <v>70281.499400000088</v>
      </c>
      <c r="H121" s="59">
        <f t="shared" ref="H121" si="27">+H112+H119</f>
        <v>-143683.74407700077</v>
      </c>
      <c r="I121" s="59">
        <f>+I112+I119</f>
        <v>0</v>
      </c>
      <c r="J121" s="236"/>
      <c r="K121" s="231"/>
    </row>
    <row r="122" spans="1:11" s="20" customFormat="1" ht="15" hidden="1" x14ac:dyDescent="0.25">
      <c r="A122" s="11"/>
      <c r="B122" s="82"/>
      <c r="C122" s="82"/>
      <c r="D122" s="83"/>
      <c r="E122" s="83"/>
      <c r="F122" s="83" t="s">
        <v>106</v>
      </c>
      <c r="G122" s="84"/>
      <c r="H122" s="85" t="e">
        <f>+#REF!-#REF!</f>
        <v>#REF!</v>
      </c>
      <c r="I122" s="84"/>
      <c r="J122" s="86"/>
    </row>
    <row r="123" spans="1:11" ht="15" hidden="1" x14ac:dyDescent="0.25">
      <c r="F123" s="87"/>
      <c r="H123" s="88"/>
    </row>
    <row r="124" spans="1:11" ht="15" hidden="1" x14ac:dyDescent="0.25">
      <c r="F124" s="87"/>
    </row>
    <row r="125" spans="1:11" ht="15" hidden="1" x14ac:dyDescent="0.25">
      <c r="F125" s="87"/>
    </row>
    <row r="126" spans="1:11" ht="15" hidden="1" x14ac:dyDescent="0.25">
      <c r="F126" s="87"/>
      <c r="I126" s="88"/>
    </row>
    <row r="127" spans="1:11" ht="15" hidden="1" x14ac:dyDescent="0.25">
      <c r="F127" s="87"/>
    </row>
    <row r="128" spans="1:11" ht="15" hidden="1" x14ac:dyDescent="0.25">
      <c r="F128" s="87"/>
    </row>
    <row r="129" spans="6:6" ht="15" hidden="1" x14ac:dyDescent="0.25">
      <c r="F129" s="87"/>
    </row>
    <row r="130" spans="6:6" ht="15" hidden="1" x14ac:dyDescent="0.25">
      <c r="F130" s="87"/>
    </row>
    <row r="131" spans="6:6" ht="15" hidden="1" x14ac:dyDescent="0.25">
      <c r="F131" s="87"/>
    </row>
    <row r="132" spans="6:6" ht="15" hidden="1" x14ac:dyDescent="0.25">
      <c r="F132" s="87"/>
    </row>
    <row r="133" spans="6:6" ht="15" hidden="1" x14ac:dyDescent="0.25">
      <c r="F133" s="87"/>
    </row>
    <row r="134" spans="6:6" ht="15" hidden="1" x14ac:dyDescent="0.25">
      <c r="F134" s="87"/>
    </row>
    <row r="135" spans="6:6" ht="15" hidden="1" x14ac:dyDescent="0.25">
      <c r="F135" s="87"/>
    </row>
    <row r="136" spans="6:6" ht="15" hidden="1" x14ac:dyDescent="0.25">
      <c r="F136" s="87"/>
    </row>
    <row r="137" spans="6:6" ht="15" hidden="1" x14ac:dyDescent="0.25">
      <c r="F137" s="87"/>
    </row>
    <row r="138" spans="6:6" ht="15" hidden="1" x14ac:dyDescent="0.25">
      <c r="F138" s="87"/>
    </row>
    <row r="139" spans="6:6" ht="15" hidden="1" x14ac:dyDescent="0.25">
      <c r="F139" s="87"/>
    </row>
    <row r="140" spans="6:6" ht="15" hidden="1" x14ac:dyDescent="0.25">
      <c r="F140" s="87"/>
    </row>
    <row r="141" spans="6:6" ht="15" hidden="1" x14ac:dyDescent="0.25">
      <c r="F141" s="87"/>
    </row>
    <row r="142" spans="6:6" ht="15" hidden="1" x14ac:dyDescent="0.25">
      <c r="F142" s="87"/>
    </row>
    <row r="143" spans="6:6" ht="15" hidden="1" x14ac:dyDescent="0.25">
      <c r="F143" s="87"/>
    </row>
    <row r="144" spans="6:6" ht="15" hidden="1" x14ac:dyDescent="0.25">
      <c r="F144" s="87"/>
    </row>
    <row r="145" spans="6:6" ht="15" hidden="1" x14ac:dyDescent="0.25">
      <c r="F145" s="87"/>
    </row>
    <row r="146" spans="6:6" ht="15" hidden="1" x14ac:dyDescent="0.25">
      <c r="F146" s="87"/>
    </row>
    <row r="147" spans="6:6" ht="15" hidden="1" x14ac:dyDescent="0.25">
      <c r="F147" s="87"/>
    </row>
    <row r="148" spans="6:6" ht="15" hidden="1" x14ac:dyDescent="0.25">
      <c r="F148" s="87"/>
    </row>
    <row r="149" spans="6:6" ht="15" hidden="1" x14ac:dyDescent="0.25">
      <c r="F149" s="87"/>
    </row>
    <row r="150" spans="6:6" ht="15" hidden="1" x14ac:dyDescent="0.25">
      <c r="F150" s="87"/>
    </row>
    <row r="151" spans="6:6" ht="15" hidden="1" x14ac:dyDescent="0.25">
      <c r="F151" s="87"/>
    </row>
    <row r="152" spans="6:6" ht="15" hidden="1" x14ac:dyDescent="0.25">
      <c r="F152" s="87"/>
    </row>
    <row r="153" spans="6:6" ht="15" hidden="1" x14ac:dyDescent="0.25">
      <c r="F153" s="87"/>
    </row>
    <row r="154" spans="6:6" ht="15" hidden="1" x14ac:dyDescent="0.25">
      <c r="F154" s="87"/>
    </row>
    <row r="155" spans="6:6" ht="15" hidden="1" x14ac:dyDescent="0.25">
      <c r="F155" s="87"/>
    </row>
    <row r="156" spans="6:6" ht="15" hidden="1" x14ac:dyDescent="0.25">
      <c r="F156" s="87"/>
    </row>
    <row r="157" spans="6:6" ht="15" hidden="1" x14ac:dyDescent="0.25">
      <c r="F157" s="87"/>
    </row>
    <row r="158" spans="6:6" ht="15" hidden="1" x14ac:dyDescent="0.25">
      <c r="F158" s="87"/>
    </row>
    <row r="159" spans="6:6" ht="15" hidden="1" x14ac:dyDescent="0.25">
      <c r="F159" s="87"/>
    </row>
    <row r="160" spans="6:6" ht="15" hidden="1" x14ac:dyDescent="0.25">
      <c r="F160" s="87"/>
    </row>
    <row r="161" spans="6:6" ht="15" hidden="1" x14ac:dyDescent="0.25">
      <c r="F161" s="87"/>
    </row>
    <row r="162" spans="6:6" ht="15" hidden="1" x14ac:dyDescent="0.25">
      <c r="F162" s="87"/>
    </row>
    <row r="163" spans="6:6" ht="15" hidden="1" x14ac:dyDescent="0.25">
      <c r="F163" s="87"/>
    </row>
    <row r="164" spans="6:6" ht="15" hidden="1" x14ac:dyDescent="0.25">
      <c r="F164" s="87"/>
    </row>
    <row r="165" spans="6:6" ht="15" hidden="1" x14ac:dyDescent="0.25">
      <c r="F165" s="87"/>
    </row>
    <row r="166" spans="6:6" ht="15" hidden="1" x14ac:dyDescent="0.25">
      <c r="F166" s="87"/>
    </row>
    <row r="167" spans="6:6" ht="15" hidden="1" x14ac:dyDescent="0.25">
      <c r="F167" s="87"/>
    </row>
    <row r="168" spans="6:6" ht="15" hidden="1" x14ac:dyDescent="0.25">
      <c r="F168" s="87"/>
    </row>
    <row r="169" spans="6:6" ht="15" hidden="1" x14ac:dyDescent="0.25">
      <c r="F169" s="87"/>
    </row>
    <row r="170" spans="6:6" ht="15" hidden="1" x14ac:dyDescent="0.25">
      <c r="F170" s="87"/>
    </row>
    <row r="171" spans="6:6" ht="15" hidden="1" x14ac:dyDescent="0.25">
      <c r="F171" s="87"/>
    </row>
    <row r="172" spans="6:6" ht="15" hidden="1" x14ac:dyDescent="0.25">
      <c r="F172" s="87"/>
    </row>
    <row r="173" spans="6:6" ht="15" hidden="1" x14ac:dyDescent="0.25">
      <c r="F173" s="87"/>
    </row>
    <row r="174" spans="6:6" ht="15" hidden="1" x14ac:dyDescent="0.25">
      <c r="F174" s="87"/>
    </row>
    <row r="175" spans="6:6" ht="15" hidden="1" x14ac:dyDescent="0.25">
      <c r="F175" s="87"/>
    </row>
    <row r="176" spans="6:6" ht="15" hidden="1" x14ac:dyDescent="0.25">
      <c r="F176" s="87"/>
    </row>
    <row r="177" spans="6:6" ht="15" hidden="1" x14ac:dyDescent="0.25">
      <c r="F177" s="87"/>
    </row>
    <row r="178" spans="6:6" ht="15" hidden="1" x14ac:dyDescent="0.25">
      <c r="F178" s="87"/>
    </row>
    <row r="179" spans="6:6" ht="15" hidden="1" x14ac:dyDescent="0.25">
      <c r="F179" s="87"/>
    </row>
    <row r="180" spans="6:6" ht="15" hidden="1" x14ac:dyDescent="0.25">
      <c r="F180" s="87"/>
    </row>
    <row r="181" spans="6:6" ht="15" hidden="1" x14ac:dyDescent="0.25">
      <c r="F181" s="87"/>
    </row>
    <row r="182" spans="6:6" ht="15" hidden="1" x14ac:dyDescent="0.25">
      <c r="F182" s="87"/>
    </row>
    <row r="183" spans="6:6" ht="15" hidden="1" x14ac:dyDescent="0.25">
      <c r="F183" s="87"/>
    </row>
    <row r="184" spans="6:6" ht="15" hidden="1" x14ac:dyDescent="0.25">
      <c r="F184" s="87"/>
    </row>
    <row r="185" spans="6:6" ht="15" hidden="1" x14ac:dyDescent="0.25">
      <c r="F185" s="87"/>
    </row>
    <row r="186" spans="6:6" ht="15" hidden="1" x14ac:dyDescent="0.25">
      <c r="F186" s="87"/>
    </row>
    <row r="187" spans="6:6" ht="15" hidden="1" x14ac:dyDescent="0.25">
      <c r="F187" s="87"/>
    </row>
    <row r="188" spans="6:6" ht="15" hidden="1" x14ac:dyDescent="0.25">
      <c r="F188" s="87"/>
    </row>
    <row r="189" spans="6:6" ht="15" hidden="1" x14ac:dyDescent="0.25">
      <c r="F189" s="87"/>
    </row>
    <row r="190" spans="6:6" ht="15" hidden="1" x14ac:dyDescent="0.25">
      <c r="F190" s="87"/>
    </row>
    <row r="191" spans="6:6" ht="15" hidden="1" x14ac:dyDescent="0.25">
      <c r="F191" s="87"/>
    </row>
    <row r="192" spans="6:6" ht="15" hidden="1" x14ac:dyDescent="0.25">
      <c r="F192" s="87"/>
    </row>
    <row r="193" spans="6:6" ht="15" hidden="1" x14ac:dyDescent="0.25">
      <c r="F193" s="87"/>
    </row>
    <row r="194" spans="6:6" ht="15" hidden="1" x14ac:dyDescent="0.25">
      <c r="F194" s="87"/>
    </row>
    <row r="195" spans="6:6" ht="15" hidden="1" x14ac:dyDescent="0.25">
      <c r="F195" s="87"/>
    </row>
    <row r="196" spans="6:6" ht="15" hidden="1" x14ac:dyDescent="0.25">
      <c r="F196" s="87"/>
    </row>
    <row r="197" spans="6:6" ht="15" hidden="1" x14ac:dyDescent="0.25">
      <c r="F197" s="87"/>
    </row>
    <row r="198" spans="6:6" ht="15" hidden="1" x14ac:dyDescent="0.25">
      <c r="F198" s="87"/>
    </row>
    <row r="199" spans="6:6" ht="15" hidden="1" x14ac:dyDescent="0.25">
      <c r="F199" s="87"/>
    </row>
    <row r="200" spans="6:6" ht="15" hidden="1" x14ac:dyDescent="0.25">
      <c r="F200" s="87"/>
    </row>
    <row r="201" spans="6:6" ht="15" hidden="1" x14ac:dyDescent="0.25">
      <c r="F201" s="87"/>
    </row>
    <row r="202" spans="6:6" ht="15" hidden="1" x14ac:dyDescent="0.25">
      <c r="F202" s="87"/>
    </row>
    <row r="203" spans="6:6" ht="15" hidden="1" x14ac:dyDescent="0.25">
      <c r="F203" s="87"/>
    </row>
    <row r="204" spans="6:6" ht="15" hidden="1" x14ac:dyDescent="0.25">
      <c r="F204" s="87"/>
    </row>
    <row r="205" spans="6:6" ht="15" hidden="1" x14ac:dyDescent="0.25">
      <c r="F205" s="87"/>
    </row>
    <row r="206" spans="6:6" ht="15" hidden="1" x14ac:dyDescent="0.25">
      <c r="F206" s="87"/>
    </row>
    <row r="207" spans="6:6" ht="15" hidden="1" x14ac:dyDescent="0.25">
      <c r="F207" s="87"/>
    </row>
    <row r="208" spans="6:6" ht="15" hidden="1" x14ac:dyDescent="0.25">
      <c r="F208" s="87"/>
    </row>
    <row r="209" spans="6:6" ht="15" hidden="1" x14ac:dyDescent="0.25">
      <c r="F209" s="87"/>
    </row>
    <row r="210" spans="6:6" ht="15" hidden="1" x14ac:dyDescent="0.25">
      <c r="F210" s="87"/>
    </row>
    <row r="211" spans="6:6" ht="15" hidden="1" x14ac:dyDescent="0.25">
      <c r="F211" s="87"/>
    </row>
    <row r="212" spans="6:6" ht="15" hidden="1" x14ac:dyDescent="0.25">
      <c r="F212" s="87"/>
    </row>
    <row r="213" spans="6:6" ht="15" hidden="1" x14ac:dyDescent="0.25">
      <c r="F213" s="87"/>
    </row>
    <row r="214" spans="6:6" ht="15" hidden="1" x14ac:dyDescent="0.25">
      <c r="F214" s="87"/>
    </row>
    <row r="215" spans="6:6" ht="15" hidden="1" x14ac:dyDescent="0.25">
      <c r="F215" s="87"/>
    </row>
    <row r="216" spans="6:6" ht="15" hidden="1" x14ac:dyDescent="0.25">
      <c r="F216" s="87"/>
    </row>
    <row r="217" spans="6:6" ht="15" hidden="1" x14ac:dyDescent="0.25">
      <c r="F217" s="87"/>
    </row>
    <row r="218" spans="6:6" ht="15" hidden="1" x14ac:dyDescent="0.25">
      <c r="F218" s="87"/>
    </row>
    <row r="219" spans="6:6" ht="15" hidden="1" x14ac:dyDescent="0.25">
      <c r="F219" s="87"/>
    </row>
    <row r="220" spans="6:6" ht="15" hidden="1" x14ac:dyDescent="0.25">
      <c r="F220" s="87"/>
    </row>
    <row r="221" spans="6:6" ht="15" hidden="1" x14ac:dyDescent="0.25">
      <c r="F221" s="87"/>
    </row>
    <row r="222" spans="6:6" ht="15" hidden="1" x14ac:dyDescent="0.25">
      <c r="F222" s="87"/>
    </row>
    <row r="223" spans="6:6" ht="15" hidden="1" x14ac:dyDescent="0.25">
      <c r="F223" s="87"/>
    </row>
    <row r="224" spans="6:6" ht="15" hidden="1" x14ac:dyDescent="0.25">
      <c r="F224" s="87"/>
    </row>
    <row r="225" spans="6:6" ht="15" hidden="1" x14ac:dyDescent="0.25">
      <c r="F225" s="87"/>
    </row>
    <row r="226" spans="6:6" ht="15" hidden="1" x14ac:dyDescent="0.25">
      <c r="F226" s="87"/>
    </row>
    <row r="227" spans="6:6" ht="15" hidden="1" x14ac:dyDescent="0.25">
      <c r="F227" s="87"/>
    </row>
    <row r="228" spans="6:6" ht="15" hidden="1" x14ac:dyDescent="0.25">
      <c r="F228" s="87"/>
    </row>
    <row r="229" spans="6:6" ht="15" hidden="1" x14ac:dyDescent="0.25">
      <c r="F229" s="87"/>
    </row>
    <row r="230" spans="6:6" ht="15" hidden="1" x14ac:dyDescent="0.25">
      <c r="F230" s="87"/>
    </row>
    <row r="231" spans="6:6" ht="15" hidden="1" x14ac:dyDescent="0.25">
      <c r="F231" s="87"/>
    </row>
    <row r="232" spans="6:6" ht="15" hidden="1" x14ac:dyDescent="0.25">
      <c r="F232" s="87"/>
    </row>
    <row r="233" spans="6:6" ht="15" hidden="1" x14ac:dyDescent="0.25">
      <c r="F233" s="87"/>
    </row>
    <row r="234" spans="6:6" ht="15" hidden="1" x14ac:dyDescent="0.25">
      <c r="F234" s="87"/>
    </row>
    <row r="235" spans="6:6" ht="15" hidden="1" x14ac:dyDescent="0.25">
      <c r="F235" s="87"/>
    </row>
    <row r="236" spans="6:6" ht="15" hidden="1" x14ac:dyDescent="0.25">
      <c r="F236" s="87"/>
    </row>
    <row r="237" spans="6:6" ht="15" hidden="1" x14ac:dyDescent="0.25">
      <c r="F237" s="87"/>
    </row>
    <row r="238" spans="6:6" ht="15" hidden="1" x14ac:dyDescent="0.25">
      <c r="F238" s="87"/>
    </row>
    <row r="239" spans="6:6" ht="15" hidden="1" x14ac:dyDescent="0.25">
      <c r="F239" s="87"/>
    </row>
    <row r="240" spans="6:6" ht="15" hidden="1" x14ac:dyDescent="0.25">
      <c r="F240" s="87"/>
    </row>
    <row r="241" spans="6:6" ht="15" hidden="1" x14ac:dyDescent="0.25">
      <c r="F241" s="87"/>
    </row>
    <row r="242" spans="6:6" ht="15" hidden="1" x14ac:dyDescent="0.25">
      <c r="F242" s="87"/>
    </row>
    <row r="243" spans="6:6" ht="15" hidden="1" x14ac:dyDescent="0.25">
      <c r="F243" s="87"/>
    </row>
    <row r="244" spans="6:6" ht="15" hidden="1" x14ac:dyDescent="0.25">
      <c r="F244" s="87"/>
    </row>
    <row r="245" spans="6:6" ht="15" hidden="1" x14ac:dyDescent="0.25">
      <c r="F245" s="87"/>
    </row>
    <row r="246" spans="6:6" ht="15" hidden="1" x14ac:dyDescent="0.25">
      <c r="F246" s="87"/>
    </row>
    <row r="247" spans="6:6" ht="15" hidden="1" x14ac:dyDescent="0.25">
      <c r="F247" s="87"/>
    </row>
    <row r="248" spans="6:6" ht="15" hidden="1" x14ac:dyDescent="0.25">
      <c r="F248" s="87"/>
    </row>
    <row r="249" spans="6:6" ht="15" hidden="1" x14ac:dyDescent="0.25">
      <c r="F249" s="87"/>
    </row>
    <row r="250" spans="6:6" ht="15" hidden="1" x14ac:dyDescent="0.25">
      <c r="F250" s="87"/>
    </row>
    <row r="251" spans="6:6" ht="15" hidden="1" x14ac:dyDescent="0.25">
      <c r="F251" s="87"/>
    </row>
    <row r="252" spans="6:6" ht="15" hidden="1" x14ac:dyDescent="0.25">
      <c r="F252" s="87"/>
    </row>
    <row r="253" spans="6:6" ht="15" hidden="1" x14ac:dyDescent="0.25">
      <c r="F253" s="87"/>
    </row>
    <row r="254" spans="6:6" ht="15" hidden="1" x14ac:dyDescent="0.25">
      <c r="F254" s="87"/>
    </row>
    <row r="255" spans="6:6" ht="15" hidden="1" x14ac:dyDescent="0.25">
      <c r="F255" s="87"/>
    </row>
    <row r="256" spans="6:6" ht="15" hidden="1" x14ac:dyDescent="0.25">
      <c r="F256" s="87"/>
    </row>
    <row r="257" spans="6:6" ht="15" hidden="1" x14ac:dyDescent="0.25">
      <c r="F257" s="87"/>
    </row>
    <row r="258" spans="6:6" ht="15" hidden="1" x14ac:dyDescent="0.25">
      <c r="F258" s="87"/>
    </row>
    <row r="259" spans="6:6" ht="15" hidden="1" x14ac:dyDescent="0.25">
      <c r="F259" s="87"/>
    </row>
    <row r="260" spans="6:6" ht="15" hidden="1" x14ac:dyDescent="0.25">
      <c r="F260" s="87"/>
    </row>
    <row r="261" spans="6:6" ht="15" hidden="1" x14ac:dyDescent="0.25">
      <c r="F261" s="87"/>
    </row>
    <row r="262" spans="6:6" ht="15" hidden="1" x14ac:dyDescent="0.25">
      <c r="F262" s="87"/>
    </row>
    <row r="263" spans="6:6" ht="15" hidden="1" x14ac:dyDescent="0.25">
      <c r="F263" s="87"/>
    </row>
    <row r="264" spans="6:6" ht="15" hidden="1" x14ac:dyDescent="0.25">
      <c r="F264" s="87"/>
    </row>
    <row r="265" spans="6:6" ht="15" hidden="1" x14ac:dyDescent="0.25">
      <c r="F265" s="87"/>
    </row>
    <row r="266" spans="6:6" ht="15" hidden="1" x14ac:dyDescent="0.25">
      <c r="F266" s="87"/>
    </row>
    <row r="267" spans="6:6" ht="15" hidden="1" x14ac:dyDescent="0.25">
      <c r="F267" s="87"/>
    </row>
    <row r="268" spans="6:6" ht="15" hidden="1" x14ac:dyDescent="0.25">
      <c r="F268" s="87"/>
    </row>
    <row r="269" spans="6:6" ht="15" hidden="1" x14ac:dyDescent="0.25">
      <c r="F269" s="87"/>
    </row>
    <row r="270" spans="6:6" ht="15" hidden="1" x14ac:dyDescent="0.25">
      <c r="F270" s="87"/>
    </row>
    <row r="271" spans="6:6" ht="15" hidden="1" x14ac:dyDescent="0.25">
      <c r="F271" s="87"/>
    </row>
    <row r="272" spans="6:6" ht="15" hidden="1" x14ac:dyDescent="0.25">
      <c r="F272" s="87"/>
    </row>
    <row r="273" spans="6:6" ht="15" hidden="1" x14ac:dyDescent="0.25">
      <c r="F273" s="87"/>
    </row>
    <row r="274" spans="6:6" ht="15" hidden="1" x14ac:dyDescent="0.25">
      <c r="F274" s="87"/>
    </row>
    <row r="275" spans="6:6" ht="15" hidden="1" x14ac:dyDescent="0.25">
      <c r="F275" s="87"/>
    </row>
    <row r="276" spans="6:6" ht="15" hidden="1" x14ac:dyDescent="0.25">
      <c r="F276" s="87"/>
    </row>
    <row r="277" spans="6:6" ht="15" hidden="1" x14ac:dyDescent="0.25">
      <c r="F277" s="87"/>
    </row>
    <row r="278" spans="6:6" ht="15" hidden="1" x14ac:dyDescent="0.25">
      <c r="F278" s="87"/>
    </row>
    <row r="279" spans="6:6" ht="15" hidden="1" x14ac:dyDescent="0.25">
      <c r="F279" s="87"/>
    </row>
    <row r="280" spans="6:6" ht="15" hidden="1" x14ac:dyDescent="0.25">
      <c r="F280" s="87"/>
    </row>
    <row r="281" spans="6:6" ht="15" hidden="1" x14ac:dyDescent="0.25">
      <c r="F281" s="87"/>
    </row>
    <row r="282" spans="6:6" ht="15" hidden="1" x14ac:dyDescent="0.25">
      <c r="F282" s="87"/>
    </row>
    <row r="283" spans="6:6" ht="15" hidden="1" x14ac:dyDescent="0.25">
      <c r="F283" s="87"/>
    </row>
    <row r="284" spans="6:6" ht="15" hidden="1" x14ac:dyDescent="0.25">
      <c r="F284" s="87"/>
    </row>
    <row r="285" spans="6:6" ht="15" hidden="1" x14ac:dyDescent="0.25">
      <c r="F285" s="87"/>
    </row>
    <row r="286" spans="6:6" ht="15" hidden="1" x14ac:dyDescent="0.25">
      <c r="F286" s="87"/>
    </row>
    <row r="287" spans="6:6" ht="15" hidden="1" x14ac:dyDescent="0.25">
      <c r="F287" s="87"/>
    </row>
    <row r="288" spans="6:6" ht="15" hidden="1" x14ac:dyDescent="0.25">
      <c r="F288" s="87"/>
    </row>
    <row r="289" spans="6:6" ht="15" hidden="1" x14ac:dyDescent="0.25">
      <c r="F289" s="87"/>
    </row>
    <row r="290" spans="6:6" ht="15" hidden="1" x14ac:dyDescent="0.25">
      <c r="F290" s="87"/>
    </row>
    <row r="291" spans="6:6" ht="15" hidden="1" x14ac:dyDescent="0.25">
      <c r="F291" s="87"/>
    </row>
    <row r="292" spans="6:6" ht="15" hidden="1" x14ac:dyDescent="0.25">
      <c r="F292" s="87"/>
    </row>
    <row r="293" spans="6:6" ht="15" hidden="1" x14ac:dyDescent="0.25">
      <c r="F293" s="87"/>
    </row>
    <row r="294" spans="6:6" ht="15" hidden="1" x14ac:dyDescent="0.25">
      <c r="F294" s="87"/>
    </row>
    <row r="295" spans="6:6" ht="15" hidden="1" x14ac:dyDescent="0.25">
      <c r="F295" s="87"/>
    </row>
    <row r="296" spans="6:6" ht="15" hidden="1" x14ac:dyDescent="0.25">
      <c r="F296" s="87"/>
    </row>
    <row r="297" spans="6:6" ht="15" hidden="1" x14ac:dyDescent="0.25">
      <c r="F297" s="87"/>
    </row>
    <row r="298" spans="6:6" ht="15" hidden="1" x14ac:dyDescent="0.25">
      <c r="F298" s="87"/>
    </row>
    <row r="299" spans="6:6" ht="15" hidden="1" x14ac:dyDescent="0.25">
      <c r="F299" s="87"/>
    </row>
    <row r="300" spans="6:6" ht="15" hidden="1" x14ac:dyDescent="0.25">
      <c r="F300" s="87"/>
    </row>
    <row r="301" spans="6:6" ht="15" hidden="1" x14ac:dyDescent="0.25">
      <c r="F301" s="87"/>
    </row>
    <row r="302" spans="6:6" ht="15" hidden="1" x14ac:dyDescent="0.25">
      <c r="F302" s="87"/>
    </row>
    <row r="303" spans="6:6" ht="15" hidden="1" x14ac:dyDescent="0.25">
      <c r="F303" s="87"/>
    </row>
    <row r="304" spans="6:6" ht="15" hidden="1" x14ac:dyDescent="0.25">
      <c r="F304" s="87"/>
    </row>
    <row r="305" spans="6:6" ht="15" hidden="1" x14ac:dyDescent="0.25">
      <c r="F305" s="87"/>
    </row>
    <row r="306" spans="6:6" ht="15" hidden="1" x14ac:dyDescent="0.25">
      <c r="F306" s="87"/>
    </row>
    <row r="307" spans="6:6" ht="15" hidden="1" x14ac:dyDescent="0.25">
      <c r="F307" s="87"/>
    </row>
    <row r="308" spans="6:6" ht="15" hidden="1" x14ac:dyDescent="0.25">
      <c r="F308" s="87"/>
    </row>
    <row r="309" spans="6:6" ht="15" hidden="1" x14ac:dyDescent="0.25">
      <c r="F309" s="87"/>
    </row>
    <row r="310" spans="6:6" ht="15" hidden="1" x14ac:dyDescent="0.25">
      <c r="F310" s="87"/>
    </row>
    <row r="311" spans="6:6" ht="15" hidden="1" x14ac:dyDescent="0.25">
      <c r="F311" s="87"/>
    </row>
    <row r="312" spans="6:6" ht="15" hidden="1" x14ac:dyDescent="0.25">
      <c r="F312" s="87"/>
    </row>
    <row r="313" spans="6:6" ht="15" hidden="1" x14ac:dyDescent="0.25">
      <c r="F313" s="87"/>
    </row>
    <row r="314" spans="6:6" ht="15" hidden="1" x14ac:dyDescent="0.25">
      <c r="F314" s="87"/>
    </row>
    <row r="315" spans="6:6" ht="15" hidden="1" x14ac:dyDescent="0.25">
      <c r="F315" s="87"/>
    </row>
    <row r="316" spans="6:6" ht="15" hidden="1" x14ac:dyDescent="0.25">
      <c r="F316" s="87"/>
    </row>
    <row r="317" spans="6:6" ht="15" hidden="1" x14ac:dyDescent="0.25">
      <c r="F317" s="87"/>
    </row>
    <row r="318" spans="6:6" ht="15" hidden="1" x14ac:dyDescent="0.25">
      <c r="F318" s="87"/>
    </row>
    <row r="319" spans="6:6" ht="15" hidden="1" x14ac:dyDescent="0.25">
      <c r="F319" s="87"/>
    </row>
    <row r="320" spans="6:6" ht="15" hidden="1" x14ac:dyDescent="0.25">
      <c r="F320" s="87"/>
    </row>
    <row r="321" spans="6:6" ht="15" hidden="1" x14ac:dyDescent="0.25">
      <c r="F321" s="87"/>
    </row>
    <row r="322" spans="6:6" ht="15" hidden="1" x14ac:dyDescent="0.25">
      <c r="F322" s="87"/>
    </row>
    <row r="323" spans="6:6" ht="15" hidden="1" x14ac:dyDescent="0.25">
      <c r="F323" s="87"/>
    </row>
    <row r="324" spans="6:6" ht="15" hidden="1" x14ac:dyDescent="0.25">
      <c r="F324" s="87"/>
    </row>
    <row r="325" spans="6:6" ht="15" hidden="1" x14ac:dyDescent="0.25">
      <c r="F325" s="87"/>
    </row>
    <row r="326" spans="6:6" ht="15" hidden="1" x14ac:dyDescent="0.25">
      <c r="F326" s="87"/>
    </row>
    <row r="327" spans="6:6" ht="15" hidden="1" x14ac:dyDescent="0.25">
      <c r="F327" s="87"/>
    </row>
    <row r="328" spans="6:6" ht="15" hidden="1" x14ac:dyDescent="0.25">
      <c r="F328" s="87"/>
    </row>
    <row r="329" spans="6:6" ht="15" hidden="1" x14ac:dyDescent="0.25">
      <c r="F329" s="87"/>
    </row>
    <row r="330" spans="6:6" ht="15" hidden="1" x14ac:dyDescent="0.25">
      <c r="F330" s="87"/>
    </row>
    <row r="331" spans="6:6" ht="15" hidden="1" x14ac:dyDescent="0.25">
      <c r="F331" s="87"/>
    </row>
    <row r="332" spans="6:6" ht="15" hidden="1" x14ac:dyDescent="0.25">
      <c r="F332" s="87"/>
    </row>
    <row r="333" spans="6:6" ht="15" hidden="1" x14ac:dyDescent="0.25">
      <c r="F333" s="87"/>
    </row>
    <row r="334" spans="6:6" ht="15" hidden="1" x14ac:dyDescent="0.25">
      <c r="F334" s="87"/>
    </row>
    <row r="335" spans="6:6" ht="15" hidden="1" x14ac:dyDescent="0.25">
      <c r="F335" s="87"/>
    </row>
    <row r="336" spans="6:6" ht="15" hidden="1" x14ac:dyDescent="0.25">
      <c r="F336" s="87"/>
    </row>
    <row r="337" spans="6:6" ht="15" hidden="1" x14ac:dyDescent="0.25">
      <c r="F337" s="87"/>
    </row>
    <row r="338" spans="6:6" ht="15" hidden="1" x14ac:dyDescent="0.25">
      <c r="F338" s="87"/>
    </row>
    <row r="339" spans="6:6" ht="15" hidden="1" x14ac:dyDescent="0.25">
      <c r="F339" s="87"/>
    </row>
    <row r="340" spans="6:6" ht="15" hidden="1" x14ac:dyDescent="0.25">
      <c r="F340" s="87"/>
    </row>
    <row r="341" spans="6:6" ht="15" hidden="1" x14ac:dyDescent="0.25">
      <c r="F341" s="87"/>
    </row>
    <row r="342" spans="6:6" ht="15" hidden="1" x14ac:dyDescent="0.25">
      <c r="F342" s="87"/>
    </row>
    <row r="343" spans="6:6" ht="15" hidden="1" x14ac:dyDescent="0.25">
      <c r="F343" s="87"/>
    </row>
    <row r="344" spans="6:6" ht="15" hidden="1" x14ac:dyDescent="0.25">
      <c r="F344" s="87"/>
    </row>
    <row r="345" spans="6:6" ht="15" hidden="1" x14ac:dyDescent="0.25">
      <c r="F345" s="87"/>
    </row>
    <row r="346" spans="6:6" ht="15" hidden="1" x14ac:dyDescent="0.25">
      <c r="F346" s="87"/>
    </row>
    <row r="347" spans="6:6" ht="15" hidden="1" x14ac:dyDescent="0.25">
      <c r="F347" s="87"/>
    </row>
    <row r="348" spans="6:6" ht="15" hidden="1" x14ac:dyDescent="0.25">
      <c r="F348" s="87"/>
    </row>
    <row r="349" spans="6:6" ht="15" hidden="1" x14ac:dyDescent="0.25">
      <c r="F349" s="87"/>
    </row>
    <row r="350" spans="6:6" ht="15" hidden="1" x14ac:dyDescent="0.25">
      <c r="F350" s="87"/>
    </row>
    <row r="351" spans="6:6" ht="15" hidden="1" x14ac:dyDescent="0.25">
      <c r="F351" s="87"/>
    </row>
    <row r="352" spans="6:6" ht="15" hidden="1" x14ac:dyDescent="0.25">
      <c r="F352" s="87"/>
    </row>
    <row r="353" spans="6:6" ht="15" hidden="1" x14ac:dyDescent="0.25">
      <c r="F353" s="87"/>
    </row>
    <row r="354" spans="6:6" ht="15" hidden="1" x14ac:dyDescent="0.25">
      <c r="F354" s="87"/>
    </row>
    <row r="355" spans="6:6" ht="15" hidden="1" x14ac:dyDescent="0.25">
      <c r="F355" s="87"/>
    </row>
    <row r="356" spans="6:6" ht="15" hidden="1" x14ac:dyDescent="0.25">
      <c r="F356" s="87"/>
    </row>
    <row r="357" spans="6:6" ht="15" hidden="1" x14ac:dyDescent="0.25">
      <c r="F357" s="87"/>
    </row>
    <row r="358" spans="6:6" ht="15" hidden="1" x14ac:dyDescent="0.25">
      <c r="F358" s="87"/>
    </row>
    <row r="359" spans="6:6" ht="15" hidden="1" x14ac:dyDescent="0.25">
      <c r="F359" s="87"/>
    </row>
    <row r="360" spans="6:6" ht="15" hidden="1" x14ac:dyDescent="0.25">
      <c r="F360" s="87"/>
    </row>
    <row r="361" spans="6:6" ht="15" hidden="1" x14ac:dyDescent="0.25">
      <c r="F361" s="87"/>
    </row>
    <row r="362" spans="6:6" ht="15" hidden="1" x14ac:dyDescent="0.25">
      <c r="F362" s="87"/>
    </row>
    <row r="363" spans="6:6" ht="15" hidden="1" x14ac:dyDescent="0.25">
      <c r="F363" s="87"/>
    </row>
    <row r="364" spans="6:6" ht="15" hidden="1" x14ac:dyDescent="0.25">
      <c r="F364" s="87"/>
    </row>
    <row r="365" spans="6:6" ht="15" hidden="1" x14ac:dyDescent="0.25">
      <c r="F365" s="87"/>
    </row>
    <row r="366" spans="6:6" ht="15" hidden="1" x14ac:dyDescent="0.25">
      <c r="F366" s="87"/>
    </row>
    <row r="367" spans="6:6" ht="15" hidden="1" x14ac:dyDescent="0.25">
      <c r="F367" s="87"/>
    </row>
    <row r="368" spans="6:6" ht="15" hidden="1" x14ac:dyDescent="0.25">
      <c r="F368" s="87"/>
    </row>
    <row r="369" spans="6:6" ht="15" hidden="1" x14ac:dyDescent="0.25">
      <c r="F369" s="87"/>
    </row>
    <row r="370" spans="6:6" ht="15" hidden="1" x14ac:dyDescent="0.25">
      <c r="F370" s="87"/>
    </row>
    <row r="371" spans="6:6" ht="15" hidden="1" x14ac:dyDescent="0.25">
      <c r="F371" s="87"/>
    </row>
    <row r="372" spans="6:6" ht="15" hidden="1" x14ac:dyDescent="0.25">
      <c r="F372" s="87"/>
    </row>
    <row r="373" spans="6:6" ht="15" hidden="1" x14ac:dyDescent="0.25">
      <c r="F373" s="87"/>
    </row>
    <row r="374" spans="6:6" ht="15" hidden="1" x14ac:dyDescent="0.25">
      <c r="F374" s="87"/>
    </row>
    <row r="375" spans="6:6" ht="15" hidden="1" x14ac:dyDescent="0.25">
      <c r="F375" s="87"/>
    </row>
    <row r="376" spans="6:6" ht="15" hidden="1" x14ac:dyDescent="0.25">
      <c r="F376" s="87"/>
    </row>
    <row r="377" spans="6:6" ht="15" hidden="1" x14ac:dyDescent="0.25">
      <c r="F377" s="87"/>
    </row>
    <row r="378" spans="6:6" ht="15" hidden="1" x14ac:dyDescent="0.25">
      <c r="F378" s="87"/>
    </row>
    <row r="379" spans="6:6" ht="15" hidden="1" x14ac:dyDescent="0.25">
      <c r="F379" s="87"/>
    </row>
    <row r="380" spans="6:6" ht="15" hidden="1" x14ac:dyDescent="0.25">
      <c r="F380" s="87"/>
    </row>
    <row r="381" spans="6:6" ht="15" hidden="1" x14ac:dyDescent="0.25">
      <c r="F381" s="87"/>
    </row>
    <row r="382" spans="6:6" ht="15" hidden="1" x14ac:dyDescent="0.25">
      <c r="F382" s="87"/>
    </row>
    <row r="383" spans="6:6" ht="15" hidden="1" x14ac:dyDescent="0.25">
      <c r="F383" s="87"/>
    </row>
    <row r="384" spans="6:6" ht="15" hidden="1" x14ac:dyDescent="0.25">
      <c r="F384" s="87"/>
    </row>
    <row r="385" spans="6:6" ht="15" hidden="1" x14ac:dyDescent="0.25">
      <c r="F385" s="87"/>
    </row>
    <row r="386" spans="6:6" ht="15" hidden="1" x14ac:dyDescent="0.25">
      <c r="F386" s="87"/>
    </row>
    <row r="387" spans="6:6" ht="15" hidden="1" x14ac:dyDescent="0.25">
      <c r="F387" s="87"/>
    </row>
    <row r="388" spans="6:6" ht="15" hidden="1" x14ac:dyDescent="0.25">
      <c r="F388" s="87"/>
    </row>
    <row r="389" spans="6:6" ht="15" hidden="1" x14ac:dyDescent="0.25">
      <c r="F389" s="87"/>
    </row>
    <row r="390" spans="6:6" ht="15" hidden="1" x14ac:dyDescent="0.25">
      <c r="F390" s="87"/>
    </row>
    <row r="391" spans="6:6" ht="15" hidden="1" x14ac:dyDescent="0.25">
      <c r="F391" s="87"/>
    </row>
    <row r="392" spans="6:6" ht="15" hidden="1" x14ac:dyDescent="0.25">
      <c r="F392" s="87"/>
    </row>
    <row r="393" spans="6:6" ht="15" hidden="1" x14ac:dyDescent="0.25">
      <c r="F393" s="87"/>
    </row>
    <row r="394" spans="6:6" ht="15" hidden="1" x14ac:dyDescent="0.25">
      <c r="F394" s="87"/>
    </row>
    <row r="395" spans="6:6" ht="15" hidden="1" x14ac:dyDescent="0.25">
      <c r="F395" s="87"/>
    </row>
    <row r="396" spans="6:6" ht="15" hidden="1" x14ac:dyDescent="0.25">
      <c r="F396" s="87"/>
    </row>
    <row r="397" spans="6:6" ht="15" hidden="1" x14ac:dyDescent="0.25">
      <c r="F397" s="87"/>
    </row>
    <row r="398" spans="6:6" ht="15" hidden="1" x14ac:dyDescent="0.25">
      <c r="F398" s="87"/>
    </row>
    <row r="399" spans="6:6" ht="15" hidden="1" x14ac:dyDescent="0.25">
      <c r="F399" s="87"/>
    </row>
    <row r="400" spans="6:6" ht="15" hidden="1" x14ac:dyDescent="0.25">
      <c r="F400" s="87"/>
    </row>
    <row r="401" spans="6:6" ht="15" hidden="1" x14ac:dyDescent="0.25">
      <c r="F401" s="87"/>
    </row>
    <row r="402" spans="6:6" ht="15" hidden="1" x14ac:dyDescent="0.25">
      <c r="F402" s="87"/>
    </row>
    <row r="403" spans="6:6" ht="15" hidden="1" x14ac:dyDescent="0.25">
      <c r="F403" s="87"/>
    </row>
    <row r="404" spans="6:6" ht="15" hidden="1" x14ac:dyDescent="0.25">
      <c r="F404" s="87"/>
    </row>
    <row r="405" spans="6:6" ht="15" hidden="1" x14ac:dyDescent="0.25">
      <c r="F405" s="87"/>
    </row>
    <row r="406" spans="6:6" ht="15" hidden="1" x14ac:dyDescent="0.25">
      <c r="F406" s="87"/>
    </row>
    <row r="407" spans="6:6" ht="15" hidden="1" x14ac:dyDescent="0.25">
      <c r="F407" s="87"/>
    </row>
    <row r="408" spans="6:6" ht="15" hidden="1" x14ac:dyDescent="0.25">
      <c r="F408" s="87"/>
    </row>
    <row r="409" spans="6:6" ht="15" hidden="1" x14ac:dyDescent="0.25">
      <c r="F409" s="87"/>
    </row>
    <row r="410" spans="6:6" ht="15" hidden="1" x14ac:dyDescent="0.25">
      <c r="F410" s="87"/>
    </row>
    <row r="411" spans="6:6" ht="15" hidden="1" x14ac:dyDescent="0.25">
      <c r="F411" s="87"/>
    </row>
    <row r="412" spans="6:6" ht="15" hidden="1" x14ac:dyDescent="0.25">
      <c r="F412" s="87"/>
    </row>
    <row r="413" spans="6:6" ht="15" hidden="1" x14ac:dyDescent="0.25">
      <c r="F413" s="87"/>
    </row>
    <row r="414" spans="6:6" ht="15" hidden="1" x14ac:dyDescent="0.25">
      <c r="F414" s="87"/>
    </row>
    <row r="415" spans="6:6" ht="15" hidden="1" x14ac:dyDescent="0.25">
      <c r="F415" s="87"/>
    </row>
    <row r="416" spans="6:6" ht="15" hidden="1" x14ac:dyDescent="0.25">
      <c r="F416" s="87"/>
    </row>
    <row r="417" spans="6:6" ht="15" hidden="1" x14ac:dyDescent="0.25">
      <c r="F417" s="87"/>
    </row>
    <row r="418" spans="6:6" ht="15" hidden="1" x14ac:dyDescent="0.25">
      <c r="F418" s="87"/>
    </row>
    <row r="419" spans="6:6" ht="15" hidden="1" x14ac:dyDescent="0.25">
      <c r="F419" s="87"/>
    </row>
    <row r="420" spans="6:6" ht="15" hidden="1" x14ac:dyDescent="0.25">
      <c r="F420" s="87"/>
    </row>
    <row r="421" spans="6:6" ht="15" hidden="1" x14ac:dyDescent="0.25">
      <c r="F421" s="87"/>
    </row>
    <row r="422" spans="6:6" ht="15" hidden="1" x14ac:dyDescent="0.25">
      <c r="F422" s="87"/>
    </row>
    <row r="423" spans="6:6" ht="15" hidden="1" x14ac:dyDescent="0.25">
      <c r="F423" s="87"/>
    </row>
    <row r="424" spans="6:6" ht="15" hidden="1" x14ac:dyDescent="0.25">
      <c r="F424" s="87"/>
    </row>
    <row r="425" spans="6:6" ht="15" hidden="1" x14ac:dyDescent="0.25">
      <c r="F425" s="87"/>
    </row>
    <row r="426" spans="6:6" ht="15" hidden="1" x14ac:dyDescent="0.25">
      <c r="F426" s="87"/>
    </row>
    <row r="427" spans="6:6" ht="15" hidden="1" x14ac:dyDescent="0.25">
      <c r="F427" s="87"/>
    </row>
    <row r="428" spans="6:6" ht="15" hidden="1" x14ac:dyDescent="0.25">
      <c r="F428" s="87"/>
    </row>
    <row r="429" spans="6:6" ht="15" hidden="1" x14ac:dyDescent="0.25">
      <c r="F429" s="87"/>
    </row>
    <row r="430" spans="6:6" ht="15" hidden="1" x14ac:dyDescent="0.25">
      <c r="F430" s="87"/>
    </row>
    <row r="431" spans="6:6" ht="15" hidden="1" x14ac:dyDescent="0.25">
      <c r="F431" s="87"/>
    </row>
    <row r="432" spans="6:6" ht="15" hidden="1" x14ac:dyDescent="0.25">
      <c r="F432" s="87"/>
    </row>
    <row r="433" spans="6:6" ht="15" hidden="1" x14ac:dyDescent="0.25">
      <c r="F433" s="87"/>
    </row>
    <row r="434" spans="6:6" ht="15" hidden="1" x14ac:dyDescent="0.25">
      <c r="F434" s="87"/>
    </row>
    <row r="435" spans="6:6" ht="15" hidden="1" x14ac:dyDescent="0.25">
      <c r="F435" s="87"/>
    </row>
    <row r="436" spans="6:6" ht="15" hidden="1" x14ac:dyDescent="0.25">
      <c r="F436" s="87"/>
    </row>
    <row r="437" spans="6:6" ht="15" hidden="1" x14ac:dyDescent="0.25">
      <c r="F437" s="87"/>
    </row>
    <row r="438" spans="6:6" ht="15" hidden="1" x14ac:dyDescent="0.25">
      <c r="F438" s="87"/>
    </row>
    <row r="439" spans="6:6" ht="15" hidden="1" x14ac:dyDescent="0.25">
      <c r="F439" s="87"/>
    </row>
    <row r="440" spans="6:6" ht="15" hidden="1" x14ac:dyDescent="0.25">
      <c r="F440" s="87"/>
    </row>
    <row r="441" spans="6:6" ht="15" hidden="1" x14ac:dyDescent="0.25">
      <c r="F441" s="87"/>
    </row>
    <row r="442" spans="6:6" ht="15" hidden="1" x14ac:dyDescent="0.25">
      <c r="F442" s="87"/>
    </row>
    <row r="443" spans="6:6" ht="15" hidden="1" x14ac:dyDescent="0.25">
      <c r="F443" s="87"/>
    </row>
    <row r="444" spans="6:6" ht="15" hidden="1" x14ac:dyDescent="0.25">
      <c r="F444" s="87"/>
    </row>
    <row r="445" spans="6:6" ht="15" hidden="1" x14ac:dyDescent="0.25">
      <c r="F445" s="87"/>
    </row>
    <row r="446" spans="6:6" ht="15" hidden="1" x14ac:dyDescent="0.25">
      <c r="F446" s="87"/>
    </row>
    <row r="447" spans="6:6" ht="15" hidden="1" x14ac:dyDescent="0.25">
      <c r="F447" s="87"/>
    </row>
    <row r="448" spans="6:6" ht="15" hidden="1" x14ac:dyDescent="0.25">
      <c r="F448" s="87"/>
    </row>
    <row r="449" spans="6:6" ht="15" hidden="1" x14ac:dyDescent="0.25">
      <c r="F449" s="87"/>
    </row>
    <row r="450" spans="6:6" ht="15" hidden="1" x14ac:dyDescent="0.25">
      <c r="F450" s="87"/>
    </row>
    <row r="451" spans="6:6" ht="15" hidden="1" x14ac:dyDescent="0.25">
      <c r="F451" s="87"/>
    </row>
    <row r="452" spans="6:6" ht="15" hidden="1" x14ac:dyDescent="0.25">
      <c r="F452" s="87"/>
    </row>
    <row r="453" spans="6:6" ht="15" hidden="1" x14ac:dyDescent="0.25">
      <c r="F453" s="87"/>
    </row>
    <row r="454" spans="6:6" ht="15" hidden="1" x14ac:dyDescent="0.25">
      <c r="F454" s="87"/>
    </row>
    <row r="455" spans="6:6" ht="15" hidden="1" x14ac:dyDescent="0.25">
      <c r="F455" s="87"/>
    </row>
    <row r="456" spans="6:6" ht="15" hidden="1" x14ac:dyDescent="0.25">
      <c r="F456" s="87"/>
    </row>
    <row r="457" spans="6:6" ht="15" hidden="1" x14ac:dyDescent="0.25">
      <c r="F457" s="87"/>
    </row>
    <row r="458" spans="6:6" ht="15" hidden="1" x14ac:dyDescent="0.25">
      <c r="F458" s="87"/>
    </row>
    <row r="459" spans="6:6" ht="15" hidden="1" x14ac:dyDescent="0.25">
      <c r="F459" s="87"/>
    </row>
    <row r="460" spans="6:6" ht="15" hidden="1" x14ac:dyDescent="0.25">
      <c r="F460" s="87"/>
    </row>
    <row r="461" spans="6:6" ht="15" hidden="1" x14ac:dyDescent="0.25">
      <c r="F461" s="87"/>
    </row>
    <row r="462" spans="6:6" ht="15" hidden="1" x14ac:dyDescent="0.25">
      <c r="F462" s="87"/>
    </row>
    <row r="463" spans="6:6" ht="15" hidden="1" x14ac:dyDescent="0.25">
      <c r="F463" s="87"/>
    </row>
    <row r="464" spans="6:6" ht="15" hidden="1" x14ac:dyDescent="0.25">
      <c r="F464" s="87"/>
    </row>
    <row r="465" spans="6:6" ht="15" hidden="1" x14ac:dyDescent="0.25">
      <c r="F465" s="87"/>
    </row>
    <row r="466" spans="6:6" ht="15" hidden="1" x14ac:dyDescent="0.25">
      <c r="F466" s="87"/>
    </row>
    <row r="467" spans="6:6" ht="15" hidden="1" x14ac:dyDescent="0.25">
      <c r="F467" s="87"/>
    </row>
    <row r="468" spans="6:6" ht="15" hidden="1" x14ac:dyDescent="0.25">
      <c r="F468" s="87"/>
    </row>
    <row r="469" spans="6:6" ht="15" hidden="1" x14ac:dyDescent="0.25">
      <c r="F469" s="87"/>
    </row>
    <row r="470" spans="6:6" ht="15" hidden="1" x14ac:dyDescent="0.25">
      <c r="F470" s="87"/>
    </row>
    <row r="471" spans="6:6" ht="15" hidden="1" x14ac:dyDescent="0.25">
      <c r="F471" s="87"/>
    </row>
    <row r="472" spans="6:6" ht="15" hidden="1" x14ac:dyDescent="0.25">
      <c r="F472" s="87"/>
    </row>
    <row r="473" spans="6:6" ht="15" hidden="1" x14ac:dyDescent="0.25">
      <c r="F473" s="87"/>
    </row>
    <row r="474" spans="6:6" ht="15" hidden="1" x14ac:dyDescent="0.25">
      <c r="F474" s="87"/>
    </row>
    <row r="475" spans="6:6" ht="15" hidden="1" x14ac:dyDescent="0.25">
      <c r="F475" s="87"/>
    </row>
    <row r="476" spans="6:6" ht="15" hidden="1" x14ac:dyDescent="0.25">
      <c r="F476" s="87"/>
    </row>
    <row r="477" spans="6:6" ht="15" hidden="1" x14ac:dyDescent="0.25">
      <c r="F477" s="87"/>
    </row>
    <row r="478" spans="6:6" ht="15" hidden="1" x14ac:dyDescent="0.25">
      <c r="F478" s="87"/>
    </row>
    <row r="479" spans="6:6" ht="15" hidden="1" x14ac:dyDescent="0.25">
      <c r="F479" s="87"/>
    </row>
    <row r="480" spans="6:6" ht="15" hidden="1" x14ac:dyDescent="0.25">
      <c r="F480" s="87"/>
    </row>
    <row r="481" spans="6:6" ht="15" hidden="1" x14ac:dyDescent="0.25">
      <c r="F481" s="87"/>
    </row>
    <row r="482" spans="6:6" ht="15" hidden="1" x14ac:dyDescent="0.25">
      <c r="F482" s="87"/>
    </row>
    <row r="483" spans="6:6" ht="15" hidden="1" x14ac:dyDescent="0.25">
      <c r="F483" s="87"/>
    </row>
    <row r="484" spans="6:6" ht="15" hidden="1" x14ac:dyDescent="0.25">
      <c r="F484" s="87"/>
    </row>
    <row r="485" spans="6:6" ht="15" hidden="1" x14ac:dyDescent="0.25">
      <c r="F485" s="87"/>
    </row>
    <row r="486" spans="6:6" ht="15" hidden="1" x14ac:dyDescent="0.25">
      <c r="F486" s="87"/>
    </row>
    <row r="487" spans="6:6" ht="15" hidden="1" x14ac:dyDescent="0.25">
      <c r="F487" s="87"/>
    </row>
    <row r="488" spans="6:6" ht="15" hidden="1" x14ac:dyDescent="0.25">
      <c r="F488" s="87"/>
    </row>
    <row r="489" spans="6:6" ht="15" hidden="1" x14ac:dyDescent="0.25">
      <c r="F489" s="87"/>
    </row>
    <row r="490" spans="6:6" ht="15" hidden="1" x14ac:dyDescent="0.25">
      <c r="F490" s="87"/>
    </row>
    <row r="491" spans="6:6" ht="15" hidden="1" x14ac:dyDescent="0.25">
      <c r="F491" s="87"/>
    </row>
    <row r="492" spans="6:6" ht="15" hidden="1" x14ac:dyDescent="0.25">
      <c r="F492" s="87"/>
    </row>
    <row r="493" spans="6:6" ht="15" hidden="1" x14ac:dyDescent="0.25">
      <c r="F493" s="87"/>
    </row>
    <row r="494" spans="6:6" ht="15" hidden="1" x14ac:dyDescent="0.25">
      <c r="F494" s="87"/>
    </row>
    <row r="495" spans="6:6" ht="15" hidden="1" x14ac:dyDescent="0.25">
      <c r="F495" s="87"/>
    </row>
    <row r="496" spans="6:6" ht="15" hidden="1" x14ac:dyDescent="0.25">
      <c r="F496" s="87"/>
    </row>
    <row r="497" spans="6:6" ht="15" hidden="1" x14ac:dyDescent="0.25">
      <c r="F497" s="87"/>
    </row>
    <row r="498" spans="6:6" ht="15" hidden="1" x14ac:dyDescent="0.25">
      <c r="F498" s="87"/>
    </row>
    <row r="499" spans="6:6" ht="15" hidden="1" x14ac:dyDescent="0.25">
      <c r="F499" s="87"/>
    </row>
    <row r="500" spans="6:6" ht="15" hidden="1" x14ac:dyDescent="0.25">
      <c r="F500" s="87"/>
    </row>
    <row r="501" spans="6:6" ht="15" hidden="1" x14ac:dyDescent="0.25">
      <c r="F501" s="87"/>
    </row>
    <row r="502" spans="6:6" ht="15" hidden="1" x14ac:dyDescent="0.25">
      <c r="F502" s="87"/>
    </row>
    <row r="503" spans="6:6" ht="15" hidden="1" x14ac:dyDescent="0.25">
      <c r="F503" s="87"/>
    </row>
    <row r="504" spans="6:6" ht="15" hidden="1" x14ac:dyDescent="0.25">
      <c r="F504" s="87"/>
    </row>
    <row r="505" spans="6:6" ht="15" hidden="1" x14ac:dyDescent="0.25">
      <c r="F505" s="87"/>
    </row>
    <row r="506" spans="6:6" ht="15" hidden="1" x14ac:dyDescent="0.25">
      <c r="F506" s="87"/>
    </row>
    <row r="507" spans="6:6" ht="15" hidden="1" x14ac:dyDescent="0.25">
      <c r="F507" s="87"/>
    </row>
    <row r="508" spans="6:6" ht="15" hidden="1" x14ac:dyDescent="0.25">
      <c r="F508" s="87"/>
    </row>
    <row r="509" spans="6:6" ht="15" hidden="1" x14ac:dyDescent="0.25">
      <c r="F509" s="87"/>
    </row>
    <row r="510" spans="6:6" ht="15" hidden="1" x14ac:dyDescent="0.25">
      <c r="F510" s="87"/>
    </row>
    <row r="511" spans="6:6" ht="15" hidden="1" x14ac:dyDescent="0.25">
      <c r="F511" s="87"/>
    </row>
    <row r="512" spans="6:6" ht="15" hidden="1" x14ac:dyDescent="0.25">
      <c r="F512" s="87"/>
    </row>
    <row r="513" spans="6:6" ht="15" hidden="1" x14ac:dyDescent="0.25">
      <c r="F513" s="87"/>
    </row>
    <row r="514" spans="6:6" ht="15" hidden="1" x14ac:dyDescent="0.25">
      <c r="F514" s="87"/>
    </row>
    <row r="515" spans="6:6" ht="15" hidden="1" x14ac:dyDescent="0.25">
      <c r="F515" s="87"/>
    </row>
    <row r="516" spans="6:6" ht="15" hidden="1" x14ac:dyDescent="0.25">
      <c r="F516" s="87"/>
    </row>
    <row r="517" spans="6:6" ht="15" hidden="1" x14ac:dyDescent="0.25">
      <c r="F517" s="87"/>
    </row>
    <row r="518" spans="6:6" ht="15" hidden="1" x14ac:dyDescent="0.25">
      <c r="F518" s="87"/>
    </row>
    <row r="519" spans="6:6" ht="15" hidden="1" x14ac:dyDescent="0.25">
      <c r="F519" s="87"/>
    </row>
    <row r="520" spans="6:6" ht="15" hidden="1" x14ac:dyDescent="0.25">
      <c r="F520" s="87"/>
    </row>
    <row r="521" spans="6:6" ht="15" hidden="1" x14ac:dyDescent="0.25">
      <c r="F521" s="87"/>
    </row>
    <row r="522" spans="6:6" ht="15" hidden="1" x14ac:dyDescent="0.25">
      <c r="F522" s="87"/>
    </row>
    <row r="523" spans="6:6" ht="15" hidden="1" x14ac:dyDescent="0.25">
      <c r="F523" s="87"/>
    </row>
    <row r="524" spans="6:6" ht="15" hidden="1" x14ac:dyDescent="0.25">
      <c r="F524" s="87"/>
    </row>
    <row r="525" spans="6:6" ht="15" hidden="1" x14ac:dyDescent="0.25">
      <c r="F525" s="87"/>
    </row>
    <row r="526" spans="6:6" ht="15" hidden="1" x14ac:dyDescent="0.25">
      <c r="F526" s="87"/>
    </row>
    <row r="527" spans="6:6" ht="15" hidden="1" x14ac:dyDescent="0.25">
      <c r="F527" s="87"/>
    </row>
    <row r="528" spans="6:6" ht="15" hidden="1" x14ac:dyDescent="0.25">
      <c r="F528" s="87"/>
    </row>
    <row r="529" spans="6:6" ht="15" hidden="1" x14ac:dyDescent="0.25">
      <c r="F529" s="87"/>
    </row>
    <row r="530" spans="6:6" ht="15" hidden="1" x14ac:dyDescent="0.25">
      <c r="F530" s="87"/>
    </row>
    <row r="531" spans="6:6" ht="15" hidden="1" x14ac:dyDescent="0.25">
      <c r="F531" s="87"/>
    </row>
    <row r="532" spans="6:6" ht="15" hidden="1" x14ac:dyDescent="0.25">
      <c r="F532" s="87"/>
    </row>
    <row r="533" spans="6:6" ht="15" hidden="1" x14ac:dyDescent="0.25">
      <c r="F533" s="87"/>
    </row>
    <row r="534" spans="6:6" ht="15" hidden="1" x14ac:dyDescent="0.25">
      <c r="F534" s="87"/>
    </row>
    <row r="535" spans="6:6" ht="15" hidden="1" x14ac:dyDescent="0.25">
      <c r="F535" s="87"/>
    </row>
    <row r="536" spans="6:6" ht="15" hidden="1" x14ac:dyDescent="0.25">
      <c r="F536" s="87"/>
    </row>
    <row r="537" spans="6:6" ht="15" hidden="1" x14ac:dyDescent="0.25">
      <c r="F537" s="87"/>
    </row>
    <row r="538" spans="6:6" ht="15" hidden="1" x14ac:dyDescent="0.25">
      <c r="F538" s="87"/>
    </row>
    <row r="539" spans="6:6" ht="15" hidden="1" x14ac:dyDescent="0.25">
      <c r="F539" s="87"/>
    </row>
    <row r="540" spans="6:6" ht="15" hidden="1" x14ac:dyDescent="0.25">
      <c r="F540" s="87"/>
    </row>
    <row r="541" spans="6:6" ht="15" hidden="1" x14ac:dyDescent="0.25">
      <c r="F541" s="87"/>
    </row>
    <row r="542" spans="6:6" ht="15" hidden="1" x14ac:dyDescent="0.25">
      <c r="F542" s="87"/>
    </row>
    <row r="543" spans="6:6" ht="15" hidden="1" x14ac:dyDescent="0.25">
      <c r="F543" s="87"/>
    </row>
    <row r="544" spans="6:6" ht="15" hidden="1" x14ac:dyDescent="0.25">
      <c r="F544" s="87"/>
    </row>
    <row r="545" spans="6:6" ht="15" hidden="1" x14ac:dyDescent="0.25">
      <c r="F545" s="87"/>
    </row>
    <row r="546" spans="6:6" ht="15" hidden="1" x14ac:dyDescent="0.25">
      <c r="F546" s="87"/>
    </row>
    <row r="547" spans="6:6" ht="15" hidden="1" x14ac:dyDescent="0.25">
      <c r="F547" s="87"/>
    </row>
    <row r="548" spans="6:6" ht="15" hidden="1" x14ac:dyDescent="0.25">
      <c r="F548" s="87"/>
    </row>
    <row r="549" spans="6:6" ht="15" hidden="1" x14ac:dyDescent="0.25">
      <c r="F549" s="87"/>
    </row>
    <row r="550" spans="6:6" ht="15" hidden="1" x14ac:dyDescent="0.25">
      <c r="F550" s="87"/>
    </row>
    <row r="551" spans="6:6" ht="15" hidden="1" x14ac:dyDescent="0.25">
      <c r="F551" s="87"/>
    </row>
    <row r="552" spans="6:6" ht="15" hidden="1" x14ac:dyDescent="0.25">
      <c r="F552" s="87"/>
    </row>
    <row r="553" spans="6:6" ht="15" hidden="1" x14ac:dyDescent="0.25">
      <c r="F553" s="87"/>
    </row>
    <row r="554" spans="6:6" ht="15" hidden="1" x14ac:dyDescent="0.25">
      <c r="F554" s="87"/>
    </row>
    <row r="555" spans="6:6" ht="15" hidden="1" x14ac:dyDescent="0.25">
      <c r="F555" s="87"/>
    </row>
    <row r="556" spans="6:6" ht="15" hidden="1" x14ac:dyDescent="0.25">
      <c r="F556" s="87"/>
    </row>
    <row r="557" spans="6:6" ht="15" hidden="1" x14ac:dyDescent="0.25">
      <c r="F557" s="87"/>
    </row>
    <row r="558" spans="6:6" ht="15" hidden="1" x14ac:dyDescent="0.25">
      <c r="F558" s="87"/>
    </row>
    <row r="559" spans="6:6" ht="15" hidden="1" x14ac:dyDescent="0.25">
      <c r="F559" s="87"/>
    </row>
    <row r="560" spans="6:6" ht="15" hidden="1" x14ac:dyDescent="0.25">
      <c r="F560" s="87"/>
    </row>
    <row r="561" spans="6:6" ht="15" hidden="1" x14ac:dyDescent="0.25">
      <c r="F561" s="87"/>
    </row>
    <row r="562" spans="6:6" ht="15" hidden="1" x14ac:dyDescent="0.25">
      <c r="F562" s="87"/>
    </row>
    <row r="563" spans="6:6" ht="15" hidden="1" x14ac:dyDescent="0.25">
      <c r="F563" s="87"/>
    </row>
    <row r="564" spans="6:6" ht="15" hidden="1" x14ac:dyDescent="0.25">
      <c r="F564" s="87"/>
    </row>
    <row r="565" spans="6:6" ht="15" hidden="1" x14ac:dyDescent="0.25">
      <c r="F565" s="87"/>
    </row>
    <row r="566" spans="6:6" ht="15" hidden="1" x14ac:dyDescent="0.25">
      <c r="F566" s="87"/>
    </row>
    <row r="567" spans="6:6" ht="15" hidden="1" x14ac:dyDescent="0.25">
      <c r="F567" s="87"/>
    </row>
    <row r="568" spans="6:6" ht="15" hidden="1" x14ac:dyDescent="0.25">
      <c r="F568" s="87"/>
    </row>
    <row r="569" spans="6:6" ht="15" hidden="1" x14ac:dyDescent="0.25">
      <c r="F569" s="87"/>
    </row>
    <row r="570" spans="6:6" ht="15" hidden="1" x14ac:dyDescent="0.25">
      <c r="F570" s="87"/>
    </row>
    <row r="571" spans="6:6" ht="15" hidden="1" x14ac:dyDescent="0.25">
      <c r="F571" s="87"/>
    </row>
    <row r="572" spans="6:6" ht="15" hidden="1" x14ac:dyDescent="0.25">
      <c r="F572" s="87"/>
    </row>
    <row r="573" spans="6:6" ht="15" hidden="1" x14ac:dyDescent="0.25">
      <c r="F573" s="87"/>
    </row>
    <row r="574" spans="6:6" ht="15" hidden="1" x14ac:dyDescent="0.25">
      <c r="F574" s="87"/>
    </row>
    <row r="575" spans="6:6" ht="15" hidden="1" x14ac:dyDescent="0.25">
      <c r="F575" s="87"/>
    </row>
    <row r="576" spans="6:6" ht="15" hidden="1" x14ac:dyDescent="0.25">
      <c r="F576" s="87"/>
    </row>
    <row r="577" spans="6:6" ht="15" hidden="1" x14ac:dyDescent="0.25">
      <c r="F577" s="87"/>
    </row>
    <row r="578" spans="6:6" ht="15" hidden="1" x14ac:dyDescent="0.25">
      <c r="F578" s="87"/>
    </row>
    <row r="579" spans="6:6" ht="15" hidden="1" x14ac:dyDescent="0.25">
      <c r="F579" s="87"/>
    </row>
    <row r="580" spans="6:6" ht="15" hidden="1" x14ac:dyDescent="0.25">
      <c r="F580" s="87"/>
    </row>
    <row r="581" spans="6:6" ht="15" hidden="1" x14ac:dyDescent="0.25">
      <c r="F581" s="87"/>
    </row>
    <row r="582" spans="6:6" ht="15" hidden="1" x14ac:dyDescent="0.25">
      <c r="F582" s="87"/>
    </row>
    <row r="583" spans="6:6" ht="15" hidden="1" x14ac:dyDescent="0.25">
      <c r="F583" s="87"/>
    </row>
    <row r="584" spans="6:6" ht="15" hidden="1" x14ac:dyDescent="0.25">
      <c r="F584" s="87"/>
    </row>
    <row r="585" spans="6:6" ht="15" hidden="1" x14ac:dyDescent="0.25">
      <c r="F585" s="87"/>
    </row>
    <row r="586" spans="6:6" ht="15" hidden="1" x14ac:dyDescent="0.25">
      <c r="F586" s="87"/>
    </row>
    <row r="587" spans="6:6" ht="15" hidden="1" x14ac:dyDescent="0.25">
      <c r="F587" s="87"/>
    </row>
    <row r="588" spans="6:6" ht="15" hidden="1" x14ac:dyDescent="0.25">
      <c r="F588" s="87"/>
    </row>
    <row r="589" spans="6:6" ht="15" hidden="1" x14ac:dyDescent="0.25">
      <c r="F589" s="87"/>
    </row>
    <row r="590" spans="6:6" ht="15" hidden="1" x14ac:dyDescent="0.25">
      <c r="F590" s="87"/>
    </row>
    <row r="591" spans="6:6" ht="15" hidden="1" x14ac:dyDescent="0.25">
      <c r="F591" s="87"/>
    </row>
    <row r="592" spans="6:6" ht="15" hidden="1" x14ac:dyDescent="0.25">
      <c r="F592" s="87"/>
    </row>
    <row r="593" spans="6:6" ht="15" hidden="1" x14ac:dyDescent="0.25">
      <c r="F593" s="87"/>
    </row>
    <row r="594" spans="6:6" ht="15" hidden="1" x14ac:dyDescent="0.25">
      <c r="F594" s="87"/>
    </row>
    <row r="595" spans="6:6" ht="15" hidden="1" x14ac:dyDescent="0.25">
      <c r="F595" s="87"/>
    </row>
    <row r="596" spans="6:6" ht="15" hidden="1" x14ac:dyDescent="0.25">
      <c r="F596" s="87"/>
    </row>
    <row r="597" spans="6:6" ht="15" hidden="1" x14ac:dyDescent="0.25">
      <c r="F597" s="87"/>
    </row>
    <row r="598" spans="6:6" ht="15" hidden="1" x14ac:dyDescent="0.25">
      <c r="F598" s="87"/>
    </row>
    <row r="599" spans="6:6" ht="15" hidden="1" x14ac:dyDescent="0.25">
      <c r="F599" s="87"/>
    </row>
    <row r="600" spans="6:6" ht="15" hidden="1" x14ac:dyDescent="0.25">
      <c r="F600" s="87"/>
    </row>
    <row r="601" spans="6:6" ht="15" hidden="1" x14ac:dyDescent="0.25">
      <c r="F601" s="87"/>
    </row>
  </sheetData>
  <sheetProtection algorithmName="SHA-512" hashValue="eFLqY58WG/mu1ToSF5tkif0uCfwxwfa58MGCSX1r9eTn/TRni/Pvur49VhpYNyIc2DLIWtQphN3Et58h8rBwFw==" saltValue="86K5noVrmxs3CSTj1qT1Bg==" spinCount="100000" sheet="1" objects="1" scenarios="1"/>
  <mergeCells count="6">
    <mergeCell ref="B13:D13"/>
    <mergeCell ref="I11:J11"/>
    <mergeCell ref="I12:J12"/>
    <mergeCell ref="B1:K1"/>
    <mergeCell ref="B2:K2"/>
    <mergeCell ref="B3:K3"/>
  </mergeCells>
  <conditionalFormatting sqref="J15:J110">
    <cfRule type="cellIs" dxfId="5" priority="7" operator="greaterThan">
      <formula>0.1</formula>
    </cfRule>
    <cfRule type="cellIs" dxfId="4" priority="8" operator="lessThan">
      <formula>-0.1</formula>
    </cfRule>
  </conditionalFormatting>
  <conditionalFormatting sqref="D117:E117">
    <cfRule type="expression" dxfId="3" priority="6">
      <formula>$G$117+$H$117&lt;&gt;0</formula>
    </cfRule>
  </conditionalFormatting>
  <conditionalFormatting sqref="E117">
    <cfRule type="expression" dxfId="2" priority="5">
      <formula>$G$117+$H$117&lt;&gt;0</formula>
    </cfRule>
  </conditionalFormatting>
  <conditionalFormatting sqref="G117">
    <cfRule type="expression" dxfId="1" priority="4">
      <formula>$G$117+$H$117&lt;&gt;0</formula>
    </cfRule>
  </conditionalFormatting>
  <conditionalFormatting sqref="H117">
    <cfRule type="expression" dxfId="0" priority="1">
      <formula>$G$117+$H$117&lt;&gt;0</formula>
    </cfRule>
  </conditionalFormatting>
  <printOptions horizontalCentered="1"/>
  <pageMargins left="0.1" right="0.1" top="0.1" bottom="0.1" header="0.5" footer="0.5"/>
  <pageSetup scale="58" fitToHeight="0" orientation="landscape" horizontalDpi="300" verticalDpi="300" r:id="rId1"/>
  <headerFooter scaleWithDoc="0" alignWithMargins="0"/>
  <rowBreaks count="1" manualBreakCount="1">
    <brk id="6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Interim Input</vt:lpstr>
      <vt:lpstr>Budget Variance Analysis</vt:lpstr>
      <vt:lpstr>'Budget Variance Analysis'!Print_Area</vt:lpstr>
      <vt:lpstr>'Interim Input'!Print_Area</vt:lpstr>
      <vt:lpstr>'Budget Variance Analysis'!Print_Titles</vt:lpstr>
      <vt:lpstr>'Interim Input'!Print_Titles</vt:lpstr>
    </vt:vector>
  </TitlesOfParts>
  <Company>San Diego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R. Malloy;Anna Day</dc:creator>
  <cp:lastModifiedBy>Gloria De Leo</cp:lastModifiedBy>
  <cp:lastPrinted>2022-11-02T17:23:16Z</cp:lastPrinted>
  <dcterms:created xsi:type="dcterms:W3CDTF">2005-11-09T15:28:18Z</dcterms:created>
  <dcterms:modified xsi:type="dcterms:W3CDTF">2022-12-02T04:08:13Z</dcterms:modified>
</cp:coreProperties>
</file>